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\STO\Finance\Nord Ek\Kvartalsrapporter\Q3 2024\"/>
    </mc:Choice>
  </mc:AlternateContent>
  <xr:revisionPtr revIDLastSave="0" documentId="13_ncr:1_{719A3C8F-FA69-453C-9B61-348655B4B7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M 2024" sheetId="12" r:id="rId1"/>
    <sheet name="APM 2023" sheetId="11" r:id="rId2"/>
    <sheet name="APM 2022" sheetId="10" r:id="rId3"/>
    <sheet name="APM 2021 " sheetId="8" r:id="rId4"/>
    <sheet name="APM 2020" sheetId="5" r:id="rId5"/>
    <sheet name="APM 2019 " sheetId="7" r:id="rId6"/>
    <sheet name="Restated Segments 2019-2020" sheetId="9" r:id="rId7"/>
  </sheets>
  <externalReferences>
    <externalReference r:id="rId8"/>
    <externalReference r:id="rId9"/>
  </externalReferences>
  <definedNames>
    <definedName name="AS2DocOpenMode" hidden="1">"AS2DocumentEdit"</definedName>
    <definedName name="HAtusental">[1]kassaflöde!$B$18</definedName>
    <definedName name="Mb_BV_iår">[2]BR!$F$92</definedName>
    <definedName name="Mb_Resultat_BR">[2]BR!$F$93</definedName>
    <definedName name="_xlnm.Print_Area" localSheetId="2">'APM 2022'!$A$29:$K$36</definedName>
    <definedName name="_xlnm.Print_Area" localSheetId="1">'APM 2023'!$A$29:$K$36</definedName>
    <definedName name="VD">[2]Förvaltningsberättelse!$I$6</definedName>
    <definedName name="wrn.Aging._.and._.Trend._.Analysis." hidden="1">{#N/A,#N/A,FALSE,"Aging Summary";#N/A,#N/A,FALSE,"Ratio Analysis";#N/A,#N/A,FALSE,"Test 120 Day Accts";#N/A,#N/A,FALSE,"Tickmarks"}</definedName>
  </definedNames>
  <calcPr calcId="191029"/>
  <customWorkbookViews>
    <customWorkbookView name="Katarina Kjellin - Personlig vy" guid="{4A8505A7-D4AE-4FC6-B0D8-13A67F8E6DC8}" mergeInterval="0" personalView="1" maximized="1" windowWidth="1662" windowHeight="787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2" l="1"/>
  <c r="B67" i="12"/>
  <c r="B77" i="12"/>
  <c r="D77" i="12"/>
  <c r="D76" i="12"/>
  <c r="D75" i="12"/>
  <c r="D67" i="12"/>
  <c r="D66" i="12"/>
  <c r="D65" i="12"/>
  <c r="B56" i="12"/>
  <c r="D56" i="12"/>
  <c r="D55" i="12"/>
  <c r="D54" i="12"/>
  <c r="D40" i="12"/>
  <c r="D36" i="12"/>
  <c r="D27" i="12"/>
  <c r="D20" i="12"/>
  <c r="D18" i="12"/>
  <c r="D16" i="12"/>
  <c r="D14" i="12"/>
  <c r="D10" i="12"/>
  <c r="D12" i="12"/>
  <c r="E14" i="12"/>
  <c r="D8" i="12"/>
  <c r="E39" i="12"/>
  <c r="E33" i="12" l="1"/>
  <c r="E6" i="12" l="1"/>
  <c r="E15" i="11" l="1"/>
  <c r="E74" i="12"/>
  <c r="E73" i="12"/>
  <c r="E56" i="12"/>
  <c r="B38" i="12"/>
  <c r="E77" i="12"/>
  <c r="E75" i="12"/>
  <c r="E76" i="12"/>
  <c r="E67" i="12"/>
  <c r="E66" i="12"/>
  <c r="E65" i="12"/>
  <c r="E55" i="12"/>
  <c r="E54" i="12"/>
  <c r="E36" i="12"/>
  <c r="E38" i="12" s="1"/>
  <c r="E27" i="12"/>
  <c r="E16" i="12"/>
  <c r="E18" i="12" s="1"/>
  <c r="E20" i="12" s="1"/>
  <c r="E8" i="12"/>
  <c r="E10" i="12" s="1"/>
  <c r="E12" i="12" s="1"/>
  <c r="F77" i="12"/>
  <c r="F15" i="11"/>
  <c r="B53" i="12"/>
  <c r="F56" i="12"/>
  <c r="F75" i="12"/>
  <c r="F67" i="12"/>
  <c r="F14" i="12"/>
  <c r="F7" i="12"/>
  <c r="F76" i="12"/>
  <c r="B74" i="12"/>
  <c r="B73" i="12"/>
  <c r="B70" i="12"/>
  <c r="F65" i="12"/>
  <c r="F66" i="12"/>
  <c r="B63" i="12"/>
  <c r="B65" i="12" s="1"/>
  <c r="B61" i="12"/>
  <c r="F54" i="12"/>
  <c r="F55" i="12"/>
  <c r="B52" i="12"/>
  <c r="B50" i="12"/>
  <c r="F36" i="12"/>
  <c r="D38" i="12"/>
  <c r="F27" i="12"/>
  <c r="F16" i="12"/>
  <c r="F18" i="12" s="1"/>
  <c r="F20" i="12" s="1"/>
  <c r="B15" i="12"/>
  <c r="B16" i="12" s="1"/>
  <c r="F8" i="12"/>
  <c r="F10" i="12"/>
  <c r="F12" i="12"/>
  <c r="B7" i="12"/>
  <c r="B6" i="12"/>
  <c r="F40" i="12"/>
  <c r="F38" i="12"/>
  <c r="B55" i="12"/>
  <c r="B66" i="12"/>
  <c r="B76" i="12"/>
  <c r="C38" i="12"/>
  <c r="B14" i="12"/>
  <c r="B18" i="12" s="1"/>
  <c r="B20" i="12" s="1"/>
  <c r="B74" i="5"/>
  <c r="C77" i="5"/>
  <c r="C68" i="5"/>
  <c r="B65" i="5"/>
  <c r="C73" i="5"/>
  <c r="D77" i="5"/>
  <c r="D74" i="5"/>
  <c r="D68" i="5"/>
  <c r="D73" i="5"/>
  <c r="E77" i="5"/>
  <c r="E73" i="5"/>
  <c r="E68" i="5"/>
  <c r="F77" i="5"/>
  <c r="F68" i="5"/>
  <c r="B77" i="5"/>
  <c r="D75" i="5"/>
  <c r="F75" i="5"/>
  <c r="F76" i="5"/>
  <c r="E75" i="5"/>
  <c r="E76" i="5"/>
  <c r="C75" i="5"/>
  <c r="C76" i="5"/>
  <c r="B71" i="5"/>
  <c r="B68" i="5"/>
  <c r="F66" i="5"/>
  <c r="F67" i="5"/>
  <c r="E66" i="5"/>
  <c r="E67" i="5"/>
  <c r="D66" i="5"/>
  <c r="D67" i="5"/>
  <c r="C66" i="5"/>
  <c r="C67" i="5"/>
  <c r="B64" i="5"/>
  <c r="B62" i="5"/>
  <c r="B67" i="8"/>
  <c r="B76" i="8"/>
  <c r="C76" i="8"/>
  <c r="C72" i="8"/>
  <c r="C67" i="8"/>
  <c r="B66" i="5"/>
  <c r="B67" i="5"/>
  <c r="B73" i="5"/>
  <c r="B75" i="5"/>
  <c r="D76" i="5"/>
  <c r="B76" i="5"/>
  <c r="D76" i="8"/>
  <c r="D72" i="8"/>
  <c r="D70" i="8"/>
  <c r="D67" i="8"/>
  <c r="E67" i="8"/>
  <c r="E76" i="8"/>
  <c r="E72" i="8"/>
  <c r="E61" i="8"/>
  <c r="F76" i="8"/>
  <c r="F72" i="8"/>
  <c r="F67" i="8"/>
  <c r="F74" i="8"/>
  <c r="F75" i="8"/>
  <c r="E74" i="8"/>
  <c r="E75" i="8"/>
  <c r="D74" i="8"/>
  <c r="D75" i="8"/>
  <c r="C74" i="8"/>
  <c r="C75" i="8"/>
  <c r="B72" i="8"/>
  <c r="B70" i="8"/>
  <c r="F65" i="8"/>
  <c r="F66" i="8"/>
  <c r="E65" i="8"/>
  <c r="E66" i="8"/>
  <c r="D65" i="8"/>
  <c r="D66" i="8"/>
  <c r="C65" i="8"/>
  <c r="C66" i="8"/>
  <c r="B63" i="8"/>
  <c r="B61" i="8"/>
  <c r="B76" i="10"/>
  <c r="B67" i="10"/>
  <c r="C76" i="10"/>
  <c r="C67" i="10"/>
  <c r="B74" i="8"/>
  <c r="B65" i="8"/>
  <c r="B66" i="8"/>
  <c r="B75" i="8"/>
  <c r="D76" i="10"/>
  <c r="D67" i="10"/>
  <c r="E76" i="10"/>
  <c r="E67" i="10"/>
  <c r="B64" i="10"/>
  <c r="F76" i="10"/>
  <c r="F67" i="10"/>
  <c r="F74" i="10"/>
  <c r="F75" i="10"/>
  <c r="D74" i="10"/>
  <c r="D75" i="10"/>
  <c r="C74" i="10"/>
  <c r="C75" i="10"/>
  <c r="B73" i="10"/>
  <c r="E74" i="10"/>
  <c r="E75" i="10"/>
  <c r="B72" i="10"/>
  <c r="B70" i="10"/>
  <c r="F65" i="10"/>
  <c r="F66" i="10"/>
  <c r="D65" i="10"/>
  <c r="D66" i="10"/>
  <c r="C65" i="10"/>
  <c r="C66" i="10"/>
  <c r="E65" i="10"/>
  <c r="E66" i="10"/>
  <c r="B63" i="10"/>
  <c r="B61" i="10"/>
  <c r="B65" i="10"/>
  <c r="B74" i="10"/>
  <c r="B66" i="10"/>
  <c r="B75" i="10"/>
  <c r="C76" i="11"/>
  <c r="E76" i="11"/>
  <c r="E67" i="11"/>
  <c r="B76" i="11"/>
  <c r="B67" i="11"/>
  <c r="E72" i="11"/>
  <c r="E63" i="11"/>
  <c r="B73" i="11"/>
  <c r="C67" i="11"/>
  <c r="B63" i="11"/>
  <c r="D76" i="11"/>
  <c r="D67" i="11"/>
  <c r="C74" i="11"/>
  <c r="C75" i="11"/>
  <c r="D74" i="11"/>
  <c r="D75" i="11"/>
  <c r="C65" i="11"/>
  <c r="C66" i="11"/>
  <c r="D65" i="11"/>
  <c r="D66" i="11"/>
  <c r="B65" i="11"/>
  <c r="B72" i="11"/>
  <c r="B70" i="11"/>
  <c r="B61" i="11"/>
  <c r="F76" i="11"/>
  <c r="F67" i="11"/>
  <c r="B74" i="11"/>
  <c r="E65" i="11"/>
  <c r="E66" i="11"/>
  <c r="E74" i="11"/>
  <c r="E75" i="11"/>
  <c r="B75" i="11"/>
  <c r="F74" i="11"/>
  <c r="F75" i="11"/>
  <c r="F65" i="11"/>
  <c r="F66" i="11"/>
  <c r="B66" i="11"/>
  <c r="C33" i="11"/>
  <c r="B33" i="11"/>
  <c r="B56" i="11"/>
  <c r="C55" i="11"/>
  <c r="C56" i="11"/>
  <c r="E52" i="11"/>
  <c r="E55" i="11"/>
  <c r="C54" i="11"/>
  <c r="B39" i="11"/>
  <c r="B35" i="11"/>
  <c r="B32" i="11"/>
  <c r="B50" i="11"/>
  <c r="C38" i="11"/>
  <c r="B38" i="11"/>
  <c r="B40" i="11"/>
  <c r="C14" i="11"/>
  <c r="C16" i="11"/>
  <c r="C18" i="11"/>
  <c r="C20" i="11"/>
  <c r="D14" i="11"/>
  <c r="D16" i="11"/>
  <c r="D18" i="11"/>
  <c r="D20" i="11"/>
  <c r="B53" i="11"/>
  <c r="B52" i="11"/>
  <c r="C36" i="11"/>
  <c r="B25" i="11"/>
  <c r="B26" i="11"/>
  <c r="C27" i="11"/>
  <c r="F7" i="11"/>
  <c r="B7" i="11"/>
  <c r="B6" i="11"/>
  <c r="D55" i="11"/>
  <c r="F16" i="11"/>
  <c r="F18" i="11"/>
  <c r="F20" i="11"/>
  <c r="D33" i="11"/>
  <c r="D27" i="11"/>
  <c r="E36" i="11"/>
  <c r="E14" i="11"/>
  <c r="E16" i="11"/>
  <c r="E18" i="11"/>
  <c r="E20" i="11"/>
  <c r="F54" i="11"/>
  <c r="F55" i="11"/>
  <c r="D54" i="11"/>
  <c r="F36" i="11"/>
  <c r="D36" i="11"/>
  <c r="D38" i="11"/>
  <c r="D40" i="11"/>
  <c r="F27" i="11"/>
  <c r="E8" i="11"/>
  <c r="E10" i="11"/>
  <c r="E12" i="11"/>
  <c r="D8" i="11"/>
  <c r="D10" i="11"/>
  <c r="D12" i="11"/>
  <c r="C8" i="11"/>
  <c r="C10" i="11"/>
  <c r="C12" i="11"/>
  <c r="C55" i="10"/>
  <c r="B36" i="10"/>
  <c r="B55" i="10"/>
  <c r="B54" i="10"/>
  <c r="C54" i="10"/>
  <c r="B27" i="10"/>
  <c r="B20" i="10"/>
  <c r="B18" i="10"/>
  <c r="C18" i="10"/>
  <c r="B16" i="10"/>
  <c r="C16" i="10"/>
  <c r="C10" i="10"/>
  <c r="B8" i="10"/>
  <c r="B10" i="10"/>
  <c r="B12" i="10"/>
  <c r="C8" i="10"/>
  <c r="D55" i="10"/>
  <c r="D54" i="10"/>
  <c r="C38" i="10"/>
  <c r="D38" i="10"/>
  <c r="C36" i="10"/>
  <c r="D36" i="10"/>
  <c r="C33" i="10"/>
  <c r="C27" i="10"/>
  <c r="C20" i="10"/>
  <c r="C12" i="10"/>
  <c r="E55" i="10"/>
  <c r="E54" i="10"/>
  <c r="E38" i="10"/>
  <c r="D27" i="10"/>
  <c r="D16" i="10"/>
  <c r="D18" i="10"/>
  <c r="D20" i="10"/>
  <c r="D8" i="10"/>
  <c r="D10" i="10"/>
  <c r="D12" i="10"/>
  <c r="F55" i="10"/>
  <c r="F54" i="10"/>
  <c r="E36" i="10"/>
  <c r="E27" i="10"/>
  <c r="E20" i="10"/>
  <c r="E18" i="10"/>
  <c r="E16" i="10"/>
  <c r="F16" i="10"/>
  <c r="E8" i="10"/>
  <c r="E10" i="10"/>
  <c r="E12" i="10"/>
  <c r="F55" i="8"/>
  <c r="F18" i="10"/>
  <c r="F36" i="10"/>
  <c r="F38" i="10"/>
  <c r="F27" i="10"/>
  <c r="F20" i="10"/>
  <c r="F8" i="10"/>
  <c r="F10" i="10"/>
  <c r="F12" i="10"/>
  <c r="B32" i="8"/>
  <c r="C31" i="8"/>
  <c r="B54" i="8"/>
  <c r="B55" i="8"/>
  <c r="B39" i="8"/>
  <c r="B35" i="8"/>
  <c r="B33" i="8"/>
  <c r="B31" i="8"/>
  <c r="B27" i="8"/>
  <c r="B26" i="8"/>
  <c r="B25" i="8"/>
  <c r="B20" i="8"/>
  <c r="B18" i="8"/>
  <c r="B16" i="8"/>
  <c r="B15" i="8"/>
  <c r="B14" i="8"/>
  <c r="B12" i="8"/>
  <c r="B10" i="8"/>
  <c r="B8" i="8"/>
  <c r="C55" i="8"/>
  <c r="D55" i="8"/>
  <c r="C54" i="8"/>
  <c r="B36" i="8"/>
  <c r="C36" i="8"/>
  <c r="C38" i="8"/>
  <c r="B38" i="8"/>
  <c r="B40" i="8"/>
  <c r="C27" i="8"/>
  <c r="C20" i="8"/>
  <c r="C18" i="8"/>
  <c r="C16" i="8"/>
  <c r="C14" i="8"/>
  <c r="C12" i="8"/>
  <c r="C10" i="8"/>
  <c r="C8" i="8"/>
  <c r="E55" i="8"/>
  <c r="D54" i="8"/>
  <c r="D38" i="8"/>
  <c r="D36" i="8"/>
  <c r="E36" i="8"/>
  <c r="D27" i="8"/>
  <c r="D20" i="8"/>
  <c r="D18" i="8"/>
  <c r="D16" i="8"/>
  <c r="D14" i="8"/>
  <c r="D12" i="8"/>
  <c r="D8" i="8"/>
  <c r="K42" i="9"/>
  <c r="J42" i="9"/>
  <c r="I42" i="9"/>
  <c r="H42" i="9"/>
  <c r="G42" i="9"/>
  <c r="E42" i="9"/>
  <c r="D42" i="9"/>
  <c r="C42" i="9"/>
  <c r="B42" i="9"/>
  <c r="K41" i="9"/>
  <c r="J41" i="9"/>
  <c r="G41" i="9"/>
  <c r="F41" i="9"/>
  <c r="D41" i="9"/>
  <c r="C41" i="9"/>
  <c r="B41" i="9"/>
  <c r="K39" i="9"/>
  <c r="J39" i="9"/>
  <c r="I39" i="9"/>
  <c r="H39" i="9"/>
  <c r="G39" i="9"/>
  <c r="E39" i="9"/>
  <c r="D39" i="9"/>
  <c r="C39" i="9"/>
  <c r="B39" i="9"/>
  <c r="K38" i="9"/>
  <c r="J38" i="9"/>
  <c r="I38" i="9"/>
  <c r="G38" i="9"/>
  <c r="D38" i="9"/>
  <c r="B38" i="9"/>
  <c r="K30" i="9"/>
  <c r="J30" i="9"/>
  <c r="I30" i="9"/>
  <c r="H30" i="9"/>
  <c r="G30" i="9"/>
  <c r="E30" i="9"/>
  <c r="D30" i="9"/>
  <c r="C30" i="9"/>
  <c r="B30" i="9"/>
  <c r="K29" i="9"/>
  <c r="J29" i="9"/>
  <c r="I29" i="9"/>
  <c r="G29" i="9"/>
  <c r="D29" i="9"/>
  <c r="B29" i="9"/>
  <c r="H27" i="9"/>
  <c r="F27" i="9"/>
  <c r="F42" i="9"/>
  <c r="J26" i="9"/>
  <c r="H26" i="9"/>
  <c r="H41" i="9"/>
  <c r="F26" i="9"/>
  <c r="E26" i="9"/>
  <c r="E41" i="9"/>
  <c r="H24" i="9"/>
  <c r="F24" i="9"/>
  <c r="F39" i="9"/>
  <c r="H23" i="9"/>
  <c r="H38" i="9"/>
  <c r="E23" i="9"/>
  <c r="E38" i="9"/>
  <c r="C23" i="9"/>
  <c r="C29" i="9"/>
  <c r="B23" i="9"/>
  <c r="F23" i="9"/>
  <c r="K17" i="9"/>
  <c r="J17" i="9"/>
  <c r="I17" i="9"/>
  <c r="H17" i="9"/>
  <c r="G17" i="9"/>
  <c r="F17" i="9"/>
  <c r="E17" i="9"/>
  <c r="D17" i="9"/>
  <c r="C17" i="9"/>
  <c r="B17" i="9"/>
  <c r="K16" i="9"/>
  <c r="J16" i="9"/>
  <c r="H16" i="9"/>
  <c r="G16" i="9"/>
  <c r="F16" i="9"/>
  <c r="E16" i="9"/>
  <c r="D16" i="9"/>
  <c r="C16" i="9"/>
  <c r="B16" i="9"/>
  <c r="I13" i="9"/>
  <c r="I41" i="9"/>
  <c r="F38" i="9"/>
  <c r="F29" i="9"/>
  <c r="C38" i="9"/>
  <c r="I16" i="9"/>
  <c r="H29" i="9"/>
  <c r="F30" i="9"/>
  <c r="E29" i="9"/>
  <c r="F38" i="8"/>
  <c r="E38" i="8"/>
  <c r="E54" i="8"/>
  <c r="E27" i="8"/>
  <c r="E20" i="8"/>
  <c r="E16" i="8"/>
  <c r="E12" i="8"/>
  <c r="E8" i="8"/>
  <c r="F54" i="8"/>
  <c r="F36" i="8"/>
  <c r="F27" i="8"/>
  <c r="F20" i="8"/>
  <c r="F16" i="8"/>
  <c r="F12" i="8"/>
  <c r="F8" i="8"/>
  <c r="F55" i="7"/>
  <c r="F46" i="7"/>
  <c r="F32" i="7"/>
  <c r="F36" i="7"/>
  <c r="F38" i="7"/>
  <c r="F40" i="7"/>
  <c r="E32" i="7"/>
  <c r="E36" i="7"/>
  <c r="E40" i="7"/>
  <c r="D46" i="7"/>
  <c r="D32" i="7"/>
  <c r="D36" i="7"/>
  <c r="D38" i="7"/>
  <c r="D40" i="7"/>
  <c r="C8" i="7"/>
  <c r="C10" i="7"/>
  <c r="C12" i="7"/>
  <c r="C46" i="7"/>
  <c r="B46" i="7"/>
  <c r="B32" i="7"/>
  <c r="B31" i="7"/>
  <c r="B36" i="7"/>
  <c r="B38" i="7"/>
  <c r="B40" i="7"/>
  <c r="C55" i="7"/>
  <c r="C56" i="7"/>
  <c r="B55" i="7"/>
  <c r="B56" i="7"/>
  <c r="C40" i="7"/>
  <c r="C36" i="7"/>
  <c r="F27" i="7"/>
  <c r="E27" i="7"/>
  <c r="D27" i="7"/>
  <c r="C27" i="7"/>
  <c r="B27" i="7"/>
  <c r="F16" i="7"/>
  <c r="F18" i="7"/>
  <c r="F20" i="7"/>
  <c r="E16" i="7"/>
  <c r="E18" i="7"/>
  <c r="E20" i="7"/>
  <c r="D16" i="7"/>
  <c r="D18" i="7"/>
  <c r="D20" i="7"/>
  <c r="C16" i="7"/>
  <c r="C18" i="7"/>
  <c r="C20" i="7"/>
  <c r="B16" i="7"/>
  <c r="B18" i="7"/>
  <c r="B20" i="7"/>
  <c r="E12" i="7"/>
  <c r="F8" i="7"/>
  <c r="F10" i="7"/>
  <c r="F12" i="7"/>
  <c r="E8" i="7"/>
  <c r="D8" i="7"/>
  <c r="D10" i="7"/>
  <c r="D12" i="7"/>
  <c r="B8" i="7"/>
  <c r="B10" i="7"/>
  <c r="B12" i="7"/>
  <c r="D31" i="5"/>
  <c r="D36" i="5"/>
  <c r="D38" i="5"/>
  <c r="D40" i="5"/>
  <c r="D32" i="5"/>
  <c r="D27" i="5"/>
  <c r="D16" i="5"/>
  <c r="D18" i="5"/>
  <c r="D20" i="5"/>
  <c r="D8" i="5"/>
  <c r="D10" i="5"/>
  <c r="D12" i="5"/>
  <c r="C36" i="5"/>
  <c r="C38" i="5"/>
  <c r="C40" i="5"/>
  <c r="C16" i="5"/>
  <c r="C18" i="5"/>
  <c r="C20" i="5"/>
  <c r="C8" i="5"/>
  <c r="C10" i="5"/>
  <c r="C12" i="5"/>
  <c r="F32" i="5"/>
  <c r="F36" i="5"/>
  <c r="F38" i="5"/>
  <c r="F40" i="5"/>
  <c r="F27" i="5"/>
  <c r="F16" i="5"/>
  <c r="F18" i="5"/>
  <c r="F20" i="5"/>
  <c r="F8" i="5"/>
  <c r="F10" i="5"/>
  <c r="F12" i="5"/>
  <c r="E36" i="5"/>
  <c r="E38" i="5"/>
  <c r="E40" i="5"/>
  <c r="E27" i="5"/>
  <c r="E16" i="5"/>
  <c r="E18" i="5"/>
  <c r="E20" i="5"/>
  <c r="E12" i="5"/>
  <c r="E8" i="5"/>
  <c r="B36" i="5"/>
  <c r="B38" i="5"/>
  <c r="B40" i="5"/>
  <c r="B27" i="5"/>
  <c r="C27" i="5"/>
  <c r="B16" i="5"/>
  <c r="B18" i="5"/>
  <c r="B20" i="5"/>
  <c r="B8" i="5"/>
  <c r="B10" i="5"/>
  <c r="B12" i="5"/>
  <c r="B55" i="11"/>
  <c r="B54" i="11"/>
  <c r="B36" i="11"/>
  <c r="B27" i="11"/>
  <c r="B14" i="11"/>
  <c r="E54" i="11"/>
  <c r="B15" i="11"/>
  <c r="B16" i="11"/>
  <c r="B18" i="11"/>
  <c r="B20" i="11"/>
  <c r="B8" i="11"/>
  <c r="B10" i="11"/>
  <c r="B12" i="11"/>
  <c r="F8" i="11"/>
  <c r="F10" i="11"/>
  <c r="F12" i="11"/>
  <c r="C40" i="11"/>
  <c r="B75" i="12" l="1"/>
  <c r="B54" i="12"/>
  <c r="B8" i="12"/>
  <c r="B10" i="12" s="1"/>
  <c r="B12" i="12" s="1"/>
  <c r="E40" i="12"/>
</calcChain>
</file>

<file path=xl/sharedStrings.xml><?xml version="1.0" encoding="utf-8"?>
<sst xmlns="http://schemas.openxmlformats.org/spreadsheetml/2006/main" count="803" uniqueCount="73">
  <si>
    <t>Helår</t>
  </si>
  <si>
    <t>Eget kapital</t>
  </si>
  <si>
    <t>-</t>
  </si>
  <si>
    <t>NETTOSKULD</t>
  </si>
  <si>
    <t>TSEK</t>
  </si>
  <si>
    <t>EBITDA</t>
  </si>
  <si>
    <t>Rörelseresultat</t>
  </si>
  <si>
    <t>+Av- och nedskrivning</t>
  </si>
  <si>
    <t>Justerad EBITDA</t>
  </si>
  <si>
    <t>Justering engångsposter</t>
  </si>
  <si>
    <t>EBITA</t>
  </si>
  <si>
    <t>+Av- och nedskrivningar på förvärvsrelaterade immateriella tillgångar</t>
  </si>
  <si>
    <t>Justerad EBITA</t>
  </si>
  <si>
    <t>SOLIDITET</t>
  </si>
  <si>
    <t>Totala tillgångar</t>
  </si>
  <si>
    <t>Soliditet</t>
  </si>
  <si>
    <t>Upplåning från kreditinstitut kortfristig del</t>
  </si>
  <si>
    <t>Upplåning från kreditinstitut långfristig del</t>
  </si>
  <si>
    <t>Leasing</t>
  </si>
  <si>
    <t>Pensionsåtagande</t>
  </si>
  <si>
    <t>Likvida medel</t>
  </si>
  <si>
    <t>Nettoskuld</t>
  </si>
  <si>
    <t>Nettoskuld / EBITDA</t>
  </si>
  <si>
    <t>Justerad EBITDA R12</t>
  </si>
  <si>
    <t>JUSTERING FÖR ENGÅNGSPOSTER</t>
  </si>
  <si>
    <t>IPO / Optionsprogram</t>
  </si>
  <si>
    <t>Total engångsposter</t>
  </si>
  <si>
    <t>ORGANISK FÖRSÄLJNINGSTILLVÄXT</t>
  </si>
  <si>
    <t>Totala intäkter</t>
  </si>
  <si>
    <t>Organisk jämförelsestörande poster</t>
  </si>
  <si>
    <t>Valutaeffekt</t>
  </si>
  <si>
    <t>Förvärvseffekt</t>
  </si>
  <si>
    <t>Justering 3D Logistik</t>
  </si>
  <si>
    <t>Summa justeringar</t>
  </si>
  <si>
    <t>Justering totala intäkter</t>
  </si>
  <si>
    <t>Organisk försäljningstillväxt</t>
  </si>
  <si>
    <t>Q 4</t>
  </si>
  <si>
    <t>Q 3</t>
  </si>
  <si>
    <t>Q 2</t>
  </si>
  <si>
    <t>Q 1</t>
  </si>
  <si>
    <t>RESULTATRÄKNINGEN</t>
  </si>
  <si>
    <t>BALANSRÄKNINGEN</t>
  </si>
  <si>
    <t>Q2</t>
  </si>
  <si>
    <t>Nettoskuld i förhållande till justerad EBITDA R12</t>
  </si>
  <si>
    <t>Jetpak Top Holding AB (publ)</t>
  </si>
  <si>
    <t xml:space="preserve">(Amounts in TSEK) </t>
  </si>
  <si>
    <t>Reported previous segment structure</t>
  </si>
  <si>
    <t>Year:</t>
  </si>
  <si>
    <t>Quarter:</t>
  </si>
  <si>
    <t>Full year</t>
  </si>
  <si>
    <t xml:space="preserve">Net revenue </t>
  </si>
  <si>
    <t>Express Ad-hoc:</t>
  </si>
  <si>
    <t>Express Systemized:</t>
  </si>
  <si>
    <t xml:space="preserve">Gross profit </t>
  </si>
  <si>
    <t>Gross margin</t>
  </si>
  <si>
    <t>Restated new segment structure</t>
  </si>
  <si>
    <t>Express Air:</t>
  </si>
  <si>
    <t>Express Road:</t>
  </si>
  <si>
    <t xml:space="preserve">Note: 3D Logistik AS (now renamed Jetpak Danmark AS) is included from Q1 2020 </t>
  </si>
  <si>
    <t>Restatement variations between segments</t>
  </si>
  <si>
    <t>Air vs Ad-hoc</t>
  </si>
  <si>
    <t>Road vs Systemizied</t>
  </si>
  <si>
    <t xml:space="preserve">Omräknade historiska jämförelsetal avseende kvartalsvisa segmentsuppgifter 2019-2020 </t>
  </si>
  <si>
    <t>Organisk försäljningstillväxt %</t>
  </si>
  <si>
    <t>Nettoomsättning</t>
  </si>
  <si>
    <t>ORGANISK FÖRSÄLJNINGSTILLVÄXT PER SEGMENT</t>
  </si>
  <si>
    <t>Epress Ad-hoc</t>
  </si>
  <si>
    <t>Express Systemized</t>
  </si>
  <si>
    <t>Epress Air</t>
  </si>
  <si>
    <t>Express Road</t>
  </si>
  <si>
    <t>Avstämning Alternativa finansiella nyckeltal- Jetpak</t>
  </si>
  <si>
    <t>Övriga intäkter</t>
  </si>
  <si>
    <t>9 månader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</si>
</sst>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r_-;\-* #,##0.00\ _k_r_-;_-* &quot;-&quot;??\ _k_r_-;_-@_-"/>
    <numFmt numFmtId="165" formatCode="#,##0.0"/>
    <numFmt numFmtId="166" formatCode="#,##0.000"/>
    <numFmt numFmtId="167" formatCode="0.0%"/>
    <numFmt numFmtId="168" formatCode="0.0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i/>
      <sz val="10"/>
      <color indexed="23"/>
      <name val="Arial"/>
      <family val="2"/>
    </font>
    <font>
      <sz val="10"/>
      <color indexed="5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sz val="10"/>
      <name val="Times New Roman"/>
      <family val="1"/>
    </font>
    <font>
      <sz val="7"/>
      <color rgb="FF00B050"/>
      <name val="Arial"/>
      <family val="2"/>
    </font>
    <font>
      <b/>
      <sz val="7"/>
      <color rgb="FF00B050"/>
      <name val="Arial"/>
      <family val="2"/>
    </font>
    <font>
      <b/>
      <sz val="7"/>
      <color rgb="FFFF0000"/>
      <name val="Arial"/>
      <family val="2"/>
    </font>
    <font>
      <sz val="10"/>
      <name val="Verdana"/>
      <family val="2"/>
    </font>
    <font>
      <u/>
      <sz val="11"/>
      <color theme="10"/>
      <name val="Calibri"/>
      <family val="2"/>
      <scheme val="minor"/>
    </font>
    <font>
      <sz val="4"/>
      <name val="Arial"/>
      <family val="2"/>
    </font>
    <font>
      <sz val="9"/>
      <name val="Arial"/>
      <family val="2"/>
    </font>
    <font>
      <b/>
      <sz val="7"/>
      <color rgb="FFFFFFFF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rgb="FFFFFFFF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1"/>
      </patternFill>
    </fill>
    <fill>
      <patternFill patternType="solid">
        <fgColor rgb="FFAEAFAE"/>
        <bgColor indexed="64"/>
      </patternFill>
    </fill>
    <fill>
      <patternFill patternType="solid">
        <fgColor rgb="FF91D5B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8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8" fillId="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5" fillId="22" borderId="3" applyNumberFormat="0" applyAlignment="0" applyProtection="0"/>
    <xf numFmtId="0" fontId="20" fillId="0" borderId="7" applyNumberFormat="0" applyFill="0" applyAlignment="0" applyProtection="0"/>
    <xf numFmtId="0" fontId="11" fillId="23" borderId="0" applyNumberFormat="0" applyBorder="0" applyAlignment="0" applyProtection="0"/>
    <xf numFmtId="0" fontId="12" fillId="0" borderId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1" borderId="8" applyNumberFormat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3" fillId="0" borderId="0"/>
    <xf numFmtId="0" fontId="33" fillId="0" borderId="0"/>
    <xf numFmtId="164" fontId="6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34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7" fillId="21" borderId="2" applyNumberFormat="0" applyAlignment="0" applyProtection="0"/>
    <xf numFmtId="0" fontId="8" fillId="4" borderId="0" applyNumberFormat="0" applyBorder="0" applyAlignment="0" applyProtection="0"/>
    <xf numFmtId="0" fontId="10" fillId="7" borderId="2" applyNumberFormat="0" applyAlignment="0" applyProtection="0"/>
    <xf numFmtId="0" fontId="1" fillId="0" borderId="0"/>
    <xf numFmtId="0" fontId="1" fillId="0" borderId="0"/>
    <xf numFmtId="0" fontId="1" fillId="0" borderId="0"/>
    <xf numFmtId="0" fontId="6" fillId="20" borderId="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9" fontId="38" fillId="0" borderId="0" applyFont="0" applyFill="0" applyBorder="0" applyAlignment="0" applyProtection="0"/>
  </cellStyleXfs>
  <cellXfs count="192">
    <xf numFmtId="0" fontId="0" fillId="0" borderId="0" xfId="0"/>
    <xf numFmtId="0" fontId="27" fillId="0" borderId="0" xfId="0" applyFont="1"/>
    <xf numFmtId="0" fontId="27" fillId="0" borderId="0" xfId="31" applyFont="1" applyProtection="1">
      <protection locked="0"/>
    </xf>
    <xf numFmtId="3" fontId="31" fillId="0" borderId="0" xfId="0" applyNumberFormat="1" applyFont="1"/>
    <xf numFmtId="0" fontId="26" fillId="0" borderId="0" xfId="0" applyFont="1" applyAlignment="1">
      <alignment horizontal="left" wrapText="1"/>
    </xf>
    <xf numFmtId="0" fontId="27" fillId="0" borderId="0" xfId="0" applyFont="1" applyAlignment="1">
      <alignment horizontal="left"/>
    </xf>
    <xf numFmtId="3" fontId="28" fillId="25" borderId="13" xfId="0" applyNumberFormat="1" applyFont="1" applyFill="1" applyBorder="1"/>
    <xf numFmtId="3" fontId="28" fillId="25" borderId="14" xfId="0" applyNumberFormat="1" applyFont="1" applyFill="1" applyBorder="1"/>
    <xf numFmtId="0" fontId="26" fillId="0" borderId="16" xfId="31" quotePrefix="1" applyFont="1" applyBorder="1" applyProtection="1">
      <protection locked="0"/>
    </xf>
    <xf numFmtId="0" fontId="27" fillId="0" borderId="16" xfId="31" applyFont="1" applyBorder="1" applyProtection="1">
      <protection locked="0"/>
    </xf>
    <xf numFmtId="3" fontId="27" fillId="0" borderId="0" xfId="0" applyNumberFormat="1" applyFont="1"/>
    <xf numFmtId="165" fontId="27" fillId="0" borderId="0" xfId="0" applyNumberFormat="1" applyFont="1"/>
    <xf numFmtId="3" fontId="26" fillId="0" borderId="0" xfId="0" applyNumberFormat="1" applyFont="1"/>
    <xf numFmtId="0" fontId="26" fillId="0" borderId="0" xfId="31" applyFont="1" applyProtection="1">
      <protection locked="0"/>
    </xf>
    <xf numFmtId="3" fontId="28" fillId="0" borderId="13" xfId="0" applyNumberFormat="1" applyFont="1" applyBorder="1"/>
    <xf numFmtId="14" fontId="28" fillId="0" borderId="11" xfId="0" applyNumberFormat="1" applyFont="1" applyBorder="1" applyAlignment="1">
      <alignment horizontal="right"/>
    </xf>
    <xf numFmtId="3" fontId="28" fillId="0" borderId="14" xfId="0" applyNumberFormat="1" applyFont="1" applyBorder="1"/>
    <xf numFmtId="0" fontId="28" fillId="0" borderId="10" xfId="0" applyFont="1" applyBorder="1" applyAlignment="1">
      <alignment horizontal="right"/>
    </xf>
    <xf numFmtId="0" fontId="26" fillId="0" borderId="18" xfId="31" applyFont="1" applyBorder="1" applyProtection="1">
      <protection locked="0"/>
    </xf>
    <xf numFmtId="3" fontId="26" fillId="0" borderId="22" xfId="0" applyNumberFormat="1" applyFont="1" applyBorder="1"/>
    <xf numFmtId="3" fontId="26" fillId="0" borderId="12" xfId="0" applyNumberFormat="1" applyFont="1" applyBorder="1"/>
    <xf numFmtId="0" fontId="27" fillId="0" borderId="18" xfId="31" applyFont="1" applyBorder="1" applyProtection="1">
      <protection locked="0"/>
    </xf>
    <xf numFmtId="0" fontId="27" fillId="0" borderId="13" xfId="31" applyFont="1" applyBorder="1" applyProtection="1">
      <protection locked="0"/>
    </xf>
    <xf numFmtId="3" fontId="27" fillId="0" borderId="11" xfId="0" applyNumberFormat="1" applyFont="1" applyBorder="1"/>
    <xf numFmtId="3" fontId="27" fillId="0" borderId="20" xfId="0" applyNumberFormat="1" applyFont="1" applyBorder="1"/>
    <xf numFmtId="3" fontId="26" fillId="0" borderId="19" xfId="0" applyNumberFormat="1" applyFont="1" applyBorder="1"/>
    <xf numFmtId="0" fontId="26" fillId="0" borderId="18" xfId="31" quotePrefix="1" applyFont="1" applyBorder="1" applyProtection="1">
      <protection locked="0"/>
    </xf>
    <xf numFmtId="3" fontId="27" fillId="0" borderId="19" xfId="0" applyNumberFormat="1" applyFont="1" applyBorder="1"/>
    <xf numFmtId="165" fontId="27" fillId="0" borderId="12" xfId="0" applyNumberFormat="1" applyFont="1" applyBorder="1"/>
    <xf numFmtId="0" fontId="26" fillId="0" borderId="13" xfId="31" quotePrefix="1" applyFont="1" applyBorder="1" applyProtection="1">
      <protection locked="0"/>
    </xf>
    <xf numFmtId="3" fontId="26" fillId="0" borderId="21" xfId="0" applyNumberFormat="1" applyFont="1" applyBorder="1"/>
    <xf numFmtId="4" fontId="31" fillId="0" borderId="0" xfId="0" applyNumberFormat="1" applyFont="1"/>
    <xf numFmtId="0" fontId="27" fillId="0" borderId="14" xfId="31" applyFont="1" applyBorder="1" applyProtection="1">
      <protection locked="0"/>
    </xf>
    <xf numFmtId="3" fontId="35" fillId="0" borderId="12" xfId="0" applyNumberFormat="1" applyFont="1" applyBorder="1"/>
    <xf numFmtId="3" fontId="35" fillId="0" borderId="18" xfId="0" applyNumberFormat="1" applyFont="1" applyBorder="1"/>
    <xf numFmtId="3" fontId="30" fillId="0" borderId="22" xfId="0" applyNumberFormat="1" applyFont="1" applyBorder="1"/>
    <xf numFmtId="166" fontId="32" fillId="0" borderId="0" xfId="0" applyNumberFormat="1" applyFont="1"/>
    <xf numFmtId="0" fontId="26" fillId="0" borderId="16" xfId="31" applyFont="1" applyBorder="1" applyProtection="1">
      <protection locked="0"/>
    </xf>
    <xf numFmtId="3" fontId="26" fillId="0" borderId="23" xfId="0" applyNumberFormat="1" applyFont="1" applyBorder="1"/>
    <xf numFmtId="3" fontId="26" fillId="0" borderId="17" xfId="0" applyNumberFormat="1" applyFont="1" applyBorder="1"/>
    <xf numFmtId="0" fontId="26" fillId="0" borderId="14" xfId="31" applyFont="1" applyBorder="1" applyProtection="1">
      <protection locked="0"/>
    </xf>
    <xf numFmtId="3" fontId="26" fillId="0" borderId="20" xfId="0" applyNumberFormat="1" applyFont="1" applyBorder="1"/>
    <xf numFmtId="3" fontId="26" fillId="0" borderId="15" xfId="0" applyNumberFormat="1" applyFont="1" applyBorder="1"/>
    <xf numFmtId="0" fontId="26" fillId="0" borderId="14" xfId="31" quotePrefix="1" applyFont="1" applyBorder="1" applyProtection="1">
      <protection locked="0"/>
    </xf>
    <xf numFmtId="3" fontId="36" fillId="0" borderId="18" xfId="0" applyNumberFormat="1" applyFont="1" applyBorder="1"/>
    <xf numFmtId="3" fontId="36" fillId="0" borderId="12" xfId="0" applyNumberFormat="1" applyFont="1" applyBorder="1"/>
    <xf numFmtId="3" fontId="27" fillId="0" borderId="0" xfId="0" applyNumberFormat="1" applyFont="1" applyAlignment="1">
      <alignment horizontal="right"/>
    </xf>
    <xf numFmtId="0" fontId="26" fillId="0" borderId="13" xfId="31" applyFont="1" applyBorder="1" applyProtection="1">
      <protection locked="0"/>
    </xf>
    <xf numFmtId="0" fontId="27" fillId="0" borderId="11" xfId="31" applyFont="1" applyBorder="1" applyProtection="1">
      <protection locked="0"/>
    </xf>
    <xf numFmtId="0" fontId="26" fillId="0" borderId="24" xfId="31" quotePrefix="1" applyFont="1" applyBorder="1" applyProtection="1">
      <protection locked="0"/>
    </xf>
    <xf numFmtId="3" fontId="26" fillId="0" borderId="0" xfId="0" applyNumberFormat="1" applyFont="1" applyAlignment="1">
      <alignment horizontal="right"/>
    </xf>
    <xf numFmtId="165" fontId="27" fillId="0" borderId="0" xfId="0" applyNumberFormat="1" applyFont="1" applyAlignment="1">
      <alignment horizontal="right"/>
    </xf>
    <xf numFmtId="1" fontId="27" fillId="0" borderId="0" xfId="0" applyNumberFormat="1" applyFont="1"/>
    <xf numFmtId="0" fontId="26" fillId="0" borderId="25" xfId="31" applyFont="1" applyBorder="1" applyProtection="1">
      <protection locked="0"/>
    </xf>
    <xf numFmtId="3" fontId="26" fillId="0" borderId="25" xfId="0" applyNumberFormat="1" applyFont="1" applyBorder="1" applyAlignment="1">
      <alignment horizontal="right"/>
    </xf>
    <xf numFmtId="0" fontId="6" fillId="0" borderId="0" xfId="0" applyFont="1"/>
    <xf numFmtId="3" fontId="26" fillId="0" borderId="25" xfId="0" applyNumberFormat="1" applyFont="1" applyBorder="1"/>
    <xf numFmtId="0" fontId="27" fillId="0" borderId="16" xfId="31" quotePrefix="1" applyFont="1" applyBorder="1" applyProtection="1">
      <protection locked="0"/>
    </xf>
    <xf numFmtId="3" fontId="26" fillId="0" borderId="24" xfId="0" applyNumberFormat="1" applyFont="1" applyBorder="1"/>
    <xf numFmtId="3" fontId="26" fillId="0" borderId="26" xfId="0" applyNumberFormat="1" applyFont="1" applyBorder="1"/>
    <xf numFmtId="165" fontId="26" fillId="0" borderId="0" xfId="0" applyNumberFormat="1" applyFont="1"/>
    <xf numFmtId="167" fontId="26" fillId="0" borderId="0" xfId="0" applyNumberFormat="1" applyFont="1"/>
    <xf numFmtId="0" fontId="0" fillId="26" borderId="0" xfId="0" applyFill="1"/>
    <xf numFmtId="0" fontId="37" fillId="25" borderId="0" xfId="0" applyFont="1" applyFill="1" applyAlignment="1">
      <alignment horizontal="right"/>
    </xf>
    <xf numFmtId="0" fontId="37" fillId="26" borderId="0" xfId="0" applyFont="1" applyFill="1" applyAlignment="1">
      <alignment horizontal="right"/>
    </xf>
    <xf numFmtId="0" fontId="37" fillId="25" borderId="0" xfId="0" applyFont="1" applyFill="1" applyAlignment="1">
      <alignment horizontal="left"/>
    </xf>
    <xf numFmtId="0" fontId="26" fillId="0" borderId="0" xfId="31" quotePrefix="1" applyFont="1" applyProtection="1">
      <protection locked="0"/>
    </xf>
    <xf numFmtId="0" fontId="39" fillId="0" borderId="0" xfId="0" applyFont="1"/>
    <xf numFmtId="0" fontId="40" fillId="0" borderId="0" xfId="0" applyFont="1"/>
    <xf numFmtId="0" fontId="39" fillId="0" borderId="30" xfId="0" applyFont="1" applyBorder="1" applyAlignment="1">
      <alignment horizontal="left"/>
    </xf>
    <xf numFmtId="0" fontId="0" fillId="27" borderId="27" xfId="0" applyFill="1" applyBorder="1"/>
    <xf numFmtId="0" fontId="0" fillId="27" borderId="28" xfId="0" applyFill="1" applyBorder="1"/>
    <xf numFmtId="0" fontId="0" fillId="27" borderId="29" xfId="0" applyFill="1" applyBorder="1"/>
    <xf numFmtId="0" fontId="39" fillId="27" borderId="28" xfId="0" applyFont="1" applyFill="1" applyBorder="1"/>
    <xf numFmtId="0" fontId="39" fillId="27" borderId="36" xfId="0" applyFont="1" applyFill="1" applyBorder="1"/>
    <xf numFmtId="0" fontId="0" fillId="0" borderId="30" xfId="0" applyBorder="1" applyAlignment="1">
      <alignment horizontal="left"/>
    </xf>
    <xf numFmtId="3" fontId="0" fillId="0" borderId="30" xfId="0" applyNumberFormat="1" applyBorder="1"/>
    <xf numFmtId="3" fontId="0" fillId="0" borderId="0" xfId="0" applyNumberFormat="1"/>
    <xf numFmtId="3" fontId="0" fillId="0" borderId="31" xfId="0" applyNumberFormat="1" applyBorder="1"/>
    <xf numFmtId="3" fontId="39" fillId="0" borderId="0" xfId="0" applyNumberFormat="1" applyFont="1"/>
    <xf numFmtId="3" fontId="39" fillId="0" borderId="37" xfId="0" applyNumberFormat="1" applyFont="1" applyBorder="1"/>
    <xf numFmtId="0" fontId="0" fillId="0" borderId="33" xfId="0" applyBorder="1" applyAlignment="1">
      <alignment horizontal="left"/>
    </xf>
    <xf numFmtId="3" fontId="0" fillId="0" borderId="33" xfId="0" applyNumberFormat="1" applyBorder="1"/>
    <xf numFmtId="3" fontId="0" fillId="0" borderId="25" xfId="0" applyNumberFormat="1" applyBorder="1"/>
    <xf numFmtId="3" fontId="0" fillId="0" borderId="34" xfId="0" applyNumberFormat="1" applyBorder="1"/>
    <xf numFmtId="3" fontId="39" fillId="0" borderId="25" xfId="0" applyNumberFormat="1" applyFont="1" applyBorder="1"/>
    <xf numFmtId="0" fontId="39" fillId="0" borderId="38" xfId="0" applyFont="1" applyBorder="1" applyAlignment="1">
      <alignment horizontal="left"/>
    </xf>
    <xf numFmtId="3" fontId="0" fillId="27" borderId="27" xfId="0" applyNumberFormat="1" applyFill="1" applyBorder="1"/>
    <xf numFmtId="3" fontId="0" fillId="27" borderId="28" xfId="0" applyNumberFormat="1" applyFill="1" applyBorder="1"/>
    <xf numFmtId="3" fontId="0" fillId="27" borderId="29" xfId="0" applyNumberFormat="1" applyFill="1" applyBorder="1"/>
    <xf numFmtId="3" fontId="39" fillId="27" borderId="28" xfId="0" applyNumberFormat="1" applyFont="1" applyFill="1" applyBorder="1"/>
    <xf numFmtId="3" fontId="39" fillId="27" borderId="36" xfId="0" applyNumberFormat="1" applyFont="1" applyFill="1" applyBorder="1"/>
    <xf numFmtId="3" fontId="41" fillId="0" borderId="0" xfId="0" applyNumberFormat="1" applyFont="1"/>
    <xf numFmtId="3" fontId="41" fillId="0" borderId="25" xfId="0" applyNumberFormat="1" applyFont="1" applyBorder="1"/>
    <xf numFmtId="3" fontId="39" fillId="0" borderId="35" xfId="0" applyNumberFormat="1" applyFont="1" applyBorder="1"/>
    <xf numFmtId="9" fontId="0" fillId="0" borderId="30" xfId="67" applyFont="1" applyBorder="1" applyAlignment="1">
      <alignment horizontal="right"/>
    </xf>
    <xf numFmtId="9" fontId="0" fillId="0" borderId="0" xfId="67" applyFont="1" applyBorder="1" applyAlignment="1">
      <alignment horizontal="right"/>
    </xf>
    <xf numFmtId="9" fontId="0" fillId="0" borderId="31" xfId="67" applyFont="1" applyBorder="1" applyAlignment="1">
      <alignment horizontal="right"/>
    </xf>
    <xf numFmtId="9" fontId="39" fillId="0" borderId="37" xfId="67" applyFont="1" applyBorder="1" applyAlignment="1">
      <alignment horizontal="right"/>
    </xf>
    <xf numFmtId="9" fontId="0" fillId="0" borderId="33" xfId="67" applyFont="1" applyBorder="1" applyAlignment="1">
      <alignment horizontal="right"/>
    </xf>
    <xf numFmtId="9" fontId="0" fillId="0" borderId="25" xfId="67" applyFont="1" applyBorder="1" applyAlignment="1">
      <alignment horizontal="right"/>
    </xf>
    <xf numFmtId="9" fontId="0" fillId="0" borderId="34" xfId="67" applyFont="1" applyBorder="1" applyAlignment="1">
      <alignment horizontal="right"/>
    </xf>
    <xf numFmtId="9" fontId="39" fillId="0" borderId="35" xfId="67" applyFont="1" applyBorder="1" applyAlignment="1">
      <alignment horizontal="right"/>
    </xf>
    <xf numFmtId="0" fontId="0" fillId="0" borderId="0" xfId="0" applyAlignment="1">
      <alignment horizontal="left"/>
    </xf>
    <xf numFmtId="0" fontId="39" fillId="28" borderId="27" xfId="0" applyFont="1" applyFill="1" applyBorder="1"/>
    <xf numFmtId="0" fontId="0" fillId="28" borderId="28" xfId="0" applyFill="1" applyBorder="1"/>
    <xf numFmtId="0" fontId="0" fillId="28" borderId="29" xfId="0" applyFill="1" applyBorder="1"/>
    <xf numFmtId="0" fontId="0" fillId="28" borderId="38" xfId="0" applyFill="1" applyBorder="1" applyAlignment="1">
      <alignment horizontal="left"/>
    </xf>
    <xf numFmtId="0" fontId="0" fillId="28" borderId="38" xfId="0" applyFill="1" applyBorder="1" applyAlignment="1">
      <alignment horizontal="center"/>
    </xf>
    <xf numFmtId="0" fontId="0" fillId="28" borderId="39" xfId="0" applyFill="1" applyBorder="1" applyAlignment="1">
      <alignment horizontal="center"/>
    </xf>
    <xf numFmtId="0" fontId="0" fillId="28" borderId="40" xfId="0" applyFill="1" applyBorder="1" applyAlignment="1">
      <alignment horizontal="center"/>
    </xf>
    <xf numFmtId="0" fontId="39" fillId="28" borderId="39" xfId="0" applyFont="1" applyFill="1" applyBorder="1" applyAlignment="1">
      <alignment horizontal="center"/>
    </xf>
    <xf numFmtId="0" fontId="0" fillId="28" borderId="39" xfId="0" applyFill="1" applyBorder="1"/>
    <xf numFmtId="0" fontId="0" fillId="28" borderId="40" xfId="0" applyFill="1" applyBorder="1"/>
    <xf numFmtId="0" fontId="39" fillId="28" borderId="32" xfId="0" applyFont="1" applyFill="1" applyBorder="1" applyAlignment="1">
      <alignment horizontal="center"/>
    </xf>
    <xf numFmtId="0" fontId="0" fillId="28" borderId="33" xfId="0" applyFill="1" applyBorder="1" applyAlignment="1">
      <alignment horizontal="left"/>
    </xf>
    <xf numFmtId="0" fontId="0" fillId="28" borderId="33" xfId="0" applyFill="1" applyBorder="1" applyAlignment="1">
      <alignment horizontal="center"/>
    </xf>
    <xf numFmtId="0" fontId="0" fillId="28" borderId="25" xfId="0" applyFill="1" applyBorder="1" applyAlignment="1">
      <alignment horizontal="center"/>
    </xf>
    <xf numFmtId="0" fontId="0" fillId="28" borderId="34" xfId="0" applyFill="1" applyBorder="1" applyAlignment="1">
      <alignment horizontal="center"/>
    </xf>
    <xf numFmtId="0" fontId="39" fillId="28" borderId="25" xfId="0" applyFont="1" applyFill="1" applyBorder="1" applyAlignment="1">
      <alignment horizontal="center"/>
    </xf>
    <xf numFmtId="0" fontId="39" fillId="28" borderId="35" xfId="0" applyFont="1" applyFill="1" applyBorder="1" applyAlignment="1">
      <alignment horizontal="center"/>
    </xf>
    <xf numFmtId="3" fontId="0" fillId="27" borderId="30" xfId="0" applyNumberFormat="1" applyFill="1" applyBorder="1"/>
    <xf numFmtId="3" fontId="0" fillId="27" borderId="0" xfId="0" applyNumberFormat="1" applyFill="1"/>
    <xf numFmtId="3" fontId="0" fillId="27" borderId="31" xfId="0" applyNumberFormat="1" applyFill="1" applyBorder="1"/>
    <xf numFmtId="3" fontId="39" fillId="27" borderId="0" xfId="0" applyNumberFormat="1" applyFont="1" applyFill="1"/>
    <xf numFmtId="3" fontId="39" fillId="27" borderId="32" xfId="0" applyNumberFormat="1" applyFont="1" applyFill="1" applyBorder="1"/>
    <xf numFmtId="3" fontId="0" fillId="0" borderId="38" xfId="0" applyNumberFormat="1" applyBorder="1"/>
    <xf numFmtId="3" fontId="0" fillId="0" borderId="39" xfId="0" applyNumberFormat="1" applyBorder="1"/>
    <xf numFmtId="3" fontId="0" fillId="0" borderId="40" xfId="0" applyNumberFormat="1" applyBorder="1"/>
    <xf numFmtId="3" fontId="39" fillId="0" borderId="39" xfId="0" applyNumberFormat="1" applyFont="1" applyBorder="1"/>
    <xf numFmtId="3" fontId="39" fillId="0" borderId="32" xfId="0" applyNumberFormat="1" applyFont="1" applyBorder="1"/>
    <xf numFmtId="167" fontId="0" fillId="0" borderId="30" xfId="67" applyNumberFormat="1" applyFont="1" applyBorder="1" applyAlignment="1">
      <alignment horizontal="right"/>
    </xf>
    <xf numFmtId="167" fontId="0" fillId="0" borderId="0" xfId="67" applyNumberFormat="1" applyFont="1" applyBorder="1" applyAlignment="1">
      <alignment horizontal="right"/>
    </xf>
    <xf numFmtId="167" fontId="0" fillId="0" borderId="31" xfId="67" applyNumberFormat="1" applyFont="1" applyBorder="1" applyAlignment="1">
      <alignment horizontal="right"/>
    </xf>
    <xf numFmtId="167" fontId="39" fillId="0" borderId="37" xfId="67" applyNumberFormat="1" applyFont="1" applyBorder="1" applyAlignment="1">
      <alignment horizontal="right"/>
    </xf>
    <xf numFmtId="167" fontId="0" fillId="0" borderId="33" xfId="67" applyNumberFormat="1" applyFont="1" applyBorder="1" applyAlignment="1">
      <alignment horizontal="right"/>
    </xf>
    <xf numFmtId="167" fontId="0" fillId="0" borderId="25" xfId="67" applyNumberFormat="1" applyFont="1" applyBorder="1" applyAlignment="1">
      <alignment horizontal="right"/>
    </xf>
    <xf numFmtId="167" fontId="0" fillId="0" borderId="34" xfId="67" applyNumberFormat="1" applyFont="1" applyBorder="1" applyAlignment="1">
      <alignment horizontal="right"/>
    </xf>
    <xf numFmtId="167" fontId="39" fillId="0" borderId="35" xfId="67" applyNumberFormat="1" applyFont="1" applyBorder="1" applyAlignment="1">
      <alignment horizontal="right"/>
    </xf>
    <xf numFmtId="0" fontId="39" fillId="29" borderId="27" xfId="0" applyFont="1" applyFill="1" applyBorder="1"/>
    <xf numFmtId="0" fontId="0" fillId="29" borderId="28" xfId="0" applyFill="1" applyBorder="1"/>
    <xf numFmtId="0" fontId="0" fillId="29" borderId="29" xfId="0" applyFill="1" applyBorder="1"/>
    <xf numFmtId="0" fontId="0" fillId="29" borderId="38" xfId="0" applyFill="1" applyBorder="1" applyAlignment="1">
      <alignment horizontal="left"/>
    </xf>
    <xf numFmtId="0" fontId="0" fillId="29" borderId="38" xfId="0" applyFill="1" applyBorder="1" applyAlignment="1">
      <alignment horizontal="center"/>
    </xf>
    <xf numFmtId="0" fontId="0" fillId="29" borderId="39" xfId="0" applyFill="1" applyBorder="1" applyAlignment="1">
      <alignment horizontal="center"/>
    </xf>
    <xf numFmtId="0" fontId="0" fillId="29" borderId="40" xfId="0" applyFill="1" applyBorder="1" applyAlignment="1">
      <alignment horizontal="center"/>
    </xf>
    <xf numFmtId="0" fontId="39" fillId="29" borderId="39" xfId="0" applyFont="1" applyFill="1" applyBorder="1" applyAlignment="1">
      <alignment horizontal="center"/>
    </xf>
    <xf numFmtId="0" fontId="0" fillId="29" borderId="39" xfId="0" applyFill="1" applyBorder="1"/>
    <xf numFmtId="0" fontId="0" fillId="29" borderId="40" xfId="0" applyFill="1" applyBorder="1"/>
    <xf numFmtId="0" fontId="39" fillId="29" borderId="32" xfId="0" applyFont="1" applyFill="1" applyBorder="1" applyAlignment="1">
      <alignment horizontal="center"/>
    </xf>
    <xf numFmtId="0" fontId="0" fillId="29" borderId="33" xfId="0" applyFill="1" applyBorder="1" applyAlignment="1">
      <alignment horizontal="left"/>
    </xf>
    <xf numFmtId="0" fontId="0" fillId="29" borderId="33" xfId="0" applyFill="1" applyBorder="1" applyAlignment="1">
      <alignment horizontal="center"/>
    </xf>
    <xf numFmtId="0" fontId="0" fillId="29" borderId="25" xfId="0" applyFill="1" applyBorder="1" applyAlignment="1">
      <alignment horizontal="center"/>
    </xf>
    <xf numFmtId="0" fontId="0" fillId="29" borderId="34" xfId="0" applyFill="1" applyBorder="1" applyAlignment="1">
      <alignment horizontal="center"/>
    </xf>
    <xf numFmtId="0" fontId="39" fillId="29" borderId="25" xfId="0" applyFont="1" applyFill="1" applyBorder="1" applyAlignment="1">
      <alignment horizontal="center"/>
    </xf>
    <xf numFmtId="0" fontId="39" fillId="29" borderId="35" xfId="0" applyFont="1" applyFill="1" applyBorder="1" applyAlignment="1">
      <alignment horizontal="center"/>
    </xf>
    <xf numFmtId="0" fontId="39" fillId="30" borderId="27" xfId="0" applyFont="1" applyFill="1" applyBorder="1"/>
    <xf numFmtId="0" fontId="0" fillId="30" borderId="28" xfId="0" applyFill="1" applyBorder="1"/>
    <xf numFmtId="0" fontId="0" fillId="30" borderId="29" xfId="0" applyFill="1" applyBorder="1"/>
    <xf numFmtId="0" fontId="0" fillId="30" borderId="30" xfId="0" applyFill="1" applyBorder="1" applyAlignment="1">
      <alignment horizontal="left"/>
    </xf>
    <xf numFmtId="0" fontId="0" fillId="30" borderId="30" xfId="0" applyFill="1" applyBorder="1" applyAlignment="1">
      <alignment horizontal="center"/>
    </xf>
    <xf numFmtId="0" fontId="0" fillId="30" borderId="0" xfId="0" applyFill="1" applyAlignment="1">
      <alignment horizontal="center"/>
    </xf>
    <xf numFmtId="0" fontId="0" fillId="30" borderId="31" xfId="0" applyFill="1" applyBorder="1" applyAlignment="1">
      <alignment horizontal="center"/>
    </xf>
    <xf numFmtId="0" fontId="39" fillId="30" borderId="0" xfId="0" applyFont="1" applyFill="1" applyAlignment="1">
      <alignment horizontal="center"/>
    </xf>
    <xf numFmtId="0" fontId="0" fillId="30" borderId="0" xfId="0" applyFill="1"/>
    <xf numFmtId="0" fontId="0" fillId="30" borderId="31" xfId="0" applyFill="1" applyBorder="1"/>
    <xf numFmtId="0" fontId="39" fillId="30" borderId="32" xfId="0" applyFont="1" applyFill="1" applyBorder="1" applyAlignment="1">
      <alignment horizontal="center"/>
    </xf>
    <xf numFmtId="0" fontId="0" fillId="30" borderId="33" xfId="0" applyFill="1" applyBorder="1" applyAlignment="1">
      <alignment horizontal="left"/>
    </xf>
    <xf numFmtId="0" fontId="0" fillId="30" borderId="33" xfId="0" applyFill="1" applyBorder="1" applyAlignment="1">
      <alignment horizontal="center"/>
    </xf>
    <xf numFmtId="0" fontId="0" fillId="30" borderId="25" xfId="0" applyFill="1" applyBorder="1" applyAlignment="1">
      <alignment horizontal="center"/>
    </xf>
    <xf numFmtId="0" fontId="0" fillId="30" borderId="34" xfId="0" applyFill="1" applyBorder="1" applyAlignment="1">
      <alignment horizontal="center"/>
    </xf>
    <xf numFmtId="0" fontId="39" fillId="30" borderId="25" xfId="0" applyFont="1" applyFill="1" applyBorder="1" applyAlignment="1">
      <alignment horizontal="center"/>
    </xf>
    <xf numFmtId="0" fontId="39" fillId="30" borderId="35" xfId="0" applyFont="1" applyFill="1" applyBorder="1" applyAlignment="1">
      <alignment horizontal="center"/>
    </xf>
    <xf numFmtId="168" fontId="0" fillId="0" borderId="0" xfId="0" applyNumberFormat="1"/>
    <xf numFmtId="3" fontId="26" fillId="0" borderId="26" xfId="0" applyNumberFormat="1" applyFont="1" applyBorder="1" applyAlignment="1">
      <alignment horizontal="right"/>
    </xf>
    <xf numFmtId="3" fontId="26" fillId="0" borderId="24" xfId="0" applyNumberFormat="1" applyFont="1" applyBorder="1" applyAlignment="1">
      <alignment horizontal="right"/>
    </xf>
    <xf numFmtId="3" fontId="42" fillId="0" borderId="0" xfId="0" applyNumberFormat="1" applyFont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67" fontId="27" fillId="0" borderId="0" xfId="0" applyNumberFormat="1" applyFont="1" applyAlignment="1">
      <alignment horizontal="right"/>
    </xf>
    <xf numFmtId="167" fontId="27" fillId="0" borderId="0" xfId="0" applyNumberFormat="1" applyFont="1"/>
    <xf numFmtId="0" fontId="26" fillId="0" borderId="25" xfId="31" applyFont="1" applyBorder="1" applyAlignment="1" applyProtection="1">
      <alignment horizontal="right"/>
      <protection locked="0"/>
    </xf>
    <xf numFmtId="3" fontId="26" fillId="0" borderId="25" xfId="31" applyNumberFormat="1" applyFont="1" applyBorder="1" applyProtection="1">
      <protection locked="0"/>
    </xf>
    <xf numFmtId="3" fontId="26" fillId="0" borderId="25" xfId="31" applyNumberFormat="1" applyFont="1" applyBorder="1" applyAlignment="1" applyProtection="1">
      <alignment horizontal="right"/>
      <protection locked="0"/>
    </xf>
    <xf numFmtId="0" fontId="43" fillId="25" borderId="0" xfId="0" applyFont="1" applyFill="1"/>
    <xf numFmtId="4" fontId="27" fillId="0" borderId="0" xfId="0" applyNumberFormat="1" applyFont="1"/>
    <xf numFmtId="167" fontId="0" fillId="0" borderId="0" xfId="0" applyNumberFormat="1"/>
    <xf numFmtId="0" fontId="26" fillId="0" borderId="25" xfId="31" quotePrefix="1" applyFont="1" applyBorder="1" applyProtection="1">
      <protection locked="0"/>
    </xf>
    <xf numFmtId="0" fontId="27" fillId="0" borderId="0" xfId="31" quotePrefix="1" applyFont="1" applyProtection="1">
      <protection locked="0"/>
    </xf>
    <xf numFmtId="168" fontId="27" fillId="0" borderId="0" xfId="0" applyNumberFormat="1" applyFont="1"/>
    <xf numFmtId="0" fontId="37" fillId="25" borderId="0" xfId="0" applyFont="1" applyFill="1" applyAlignment="1">
      <alignment horizontal="center"/>
    </xf>
    <xf numFmtId="1" fontId="28" fillId="0" borderId="11" xfId="0" applyNumberFormat="1" applyFont="1" applyBorder="1" applyAlignment="1">
      <alignment horizontal="center"/>
    </xf>
  </cellXfs>
  <cellStyles count="6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19" xr:uid="{00000000-0005-0000-0000-000019000000}"/>
    <cellStyle name="Calculation" xfId="58" builtinId="22" customBuiltin="1"/>
    <cellStyle name="Check Cell" xfId="28" xr:uid="{00000000-0005-0000-0000-00001C000000}"/>
    <cellStyle name="Explanatory Text" xfId="26" xr:uid="{00000000-0005-0000-0000-00001D000000}"/>
    <cellStyle name="Good" xfId="59" builtinId="26" customBuiltin="1"/>
    <cellStyle name="Heading 1" xfId="32" xr:uid="{00000000-0005-0000-0000-00001E000000}"/>
    <cellStyle name="Heading 2" xfId="33" xr:uid="{00000000-0005-0000-0000-00001F000000}"/>
    <cellStyle name="Heading 3" xfId="34" xr:uid="{00000000-0005-0000-0000-000020000000}"/>
    <cellStyle name="Heading 4" xfId="35" xr:uid="{00000000-0005-0000-0000-000021000000}"/>
    <cellStyle name="Hyperlänk 2" xfId="51" xr:uid="{00000000-0005-0000-0000-000022000000}"/>
    <cellStyle name="Inmatning_ÅR" xfId="27" xr:uid="{00000000-0005-0000-0000-000024000000}"/>
    <cellStyle name="Input" xfId="60" builtinId="20" customBuiltin="1"/>
    <cellStyle name="Linked Cell" xfId="29" xr:uid="{00000000-0005-0000-0000-000025000000}"/>
    <cellStyle name="Neutral" xfId="30" builtinId="28" customBuiltin="1"/>
    <cellStyle name="Normal" xfId="0" builtinId="0"/>
    <cellStyle name="Normal 2" xfId="38" xr:uid="{00000000-0005-0000-0000-000028000000}"/>
    <cellStyle name="Normal 2 2" xfId="41" xr:uid="{00000000-0005-0000-0000-000029000000}"/>
    <cellStyle name="Normal 2 3" xfId="46" xr:uid="{00000000-0005-0000-0000-00002A000000}"/>
    <cellStyle name="Normal 3" xfId="40" xr:uid="{00000000-0005-0000-0000-00002B000000}"/>
    <cellStyle name="Normal 3 2" xfId="48" xr:uid="{00000000-0005-0000-0000-00002C000000}"/>
    <cellStyle name="Normal 3 2 2" xfId="56" xr:uid="{00000000-0005-0000-0000-00002D000000}"/>
    <cellStyle name="Normal 3 2_Blad1" xfId="61" xr:uid="{00000000-0005-0000-0000-00002E000000}"/>
    <cellStyle name="Normal 4" xfId="43" xr:uid="{00000000-0005-0000-0000-00002F000000}"/>
    <cellStyle name="Normal 4 2" xfId="50" xr:uid="{00000000-0005-0000-0000-000030000000}"/>
    <cellStyle name="Normal 4 3" xfId="53" xr:uid="{00000000-0005-0000-0000-000031000000}"/>
    <cellStyle name="Normal 4_Blad1" xfId="62" xr:uid="{00000000-0005-0000-0000-000032000000}"/>
    <cellStyle name="Normal 5" xfId="45" xr:uid="{00000000-0005-0000-0000-000033000000}"/>
    <cellStyle name="Normal 5 2" xfId="55" xr:uid="{00000000-0005-0000-0000-000034000000}"/>
    <cellStyle name="Normal 5_Blad1" xfId="63" xr:uid="{00000000-0005-0000-0000-000035000000}"/>
    <cellStyle name="Normal_ÅR" xfId="31" xr:uid="{00000000-0005-0000-0000-000036000000}"/>
    <cellStyle name="Note" xfId="64" builtinId="10" customBuiltin="1"/>
    <cellStyle name="Output" xfId="36" xr:uid="{00000000-0005-0000-0000-000037000000}"/>
    <cellStyle name="Percent" xfId="67" builtinId="5"/>
    <cellStyle name="Percent 2" xfId="44" xr:uid="{00000000-0005-0000-0000-000038000000}"/>
    <cellStyle name="Percent 2 2" xfId="54" xr:uid="{00000000-0005-0000-0000-000039000000}"/>
    <cellStyle name="Procent 2" xfId="42" xr:uid="{00000000-0005-0000-0000-00003A000000}"/>
    <cellStyle name="Procent 2 2" xfId="49" xr:uid="{00000000-0005-0000-0000-00003B000000}"/>
    <cellStyle name="Procent 2 2 2" xfId="57" xr:uid="{00000000-0005-0000-0000-00003C000000}"/>
    <cellStyle name="Text" xfId="52" xr:uid="{00000000-0005-0000-0000-00003F000000}"/>
    <cellStyle name="Title" xfId="65" builtinId="15" customBuiltin="1"/>
    <cellStyle name="Total" xfId="66" builtinId="25" customBuiltin="1"/>
    <cellStyle name="Tusental 2" xfId="39" xr:uid="{00000000-0005-0000-0000-000040000000}"/>
    <cellStyle name="Tusental 2 2" xfId="47" xr:uid="{00000000-0005-0000-0000-000041000000}"/>
    <cellStyle name="Warning Text" xfId="37" xr:uid="{00000000-0005-0000-0000-000042000000}"/>
  </cellStyles>
  <dxfs count="0"/>
  <tableStyles count="0" defaultTableStyle="TableStyleMedium9" defaultPivotStyle="PivotStyleLight16"/>
  <colors>
    <mruColors>
      <color rgb="FFFFFFCC"/>
      <color rgb="FFAEAFAE"/>
      <color rgb="FFFFFFFF"/>
      <color rgb="FFAEAFAF"/>
      <color rgb="FF91D5B3"/>
      <color rgb="FFECECEC"/>
      <color rgb="FFECFF00"/>
      <color rgb="FF74B4CD"/>
      <color rgb="FFD34E5D"/>
      <color rgb="FF6438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\Audit\AuditKunder\Benchmark%20Oil%20&amp;%20Gas%20AB%20(publ)\20060101-20061231\Dokument\02%20Redovisning\05%20&#197;rsbokslut\&#197;rsredovisning%20koncer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homas%20Jonsson\My%20Documents\ProXecutive\Kunder\Maria%20&#197;krans\Tax07\Fotograf%20Camilla%20&#197;krans%20AB%20-%20&#197;rsredovisning%202006-06-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 &amp; WI"/>
      <sheetName val="RR 050630"/>
      <sheetName val="BR050630"/>
      <sheetName val="Avräkning"/>
      <sheetName val="kapital"/>
      <sheetName val="kassaflöde"/>
      <sheetName val="Clearing"/>
      <sheetName val="Indata Datum etc"/>
      <sheetName val="DialogUppdatera"/>
      <sheetName val="DialogAvrundningBRRR"/>
      <sheetName val="DialogLäggTillNotRef"/>
      <sheetName val="DialogGåTillNot"/>
      <sheetName val="DialogDBPersoner"/>
      <sheetName val="DialogConvert"/>
      <sheetName val="DialogUppdatera_Man"/>
      <sheetName val="DialogInstBRRR"/>
      <sheetName val="DialogInstBRRR_Man"/>
      <sheetName val="DialogUtskrifter"/>
      <sheetName val="Kontroller"/>
      <sheetName val="Indata Personer"/>
      <sheetName val="Försättsblad"/>
      <sheetName val="Förvaltningsberättelse"/>
      <sheetName val="Resultaträkningar"/>
      <sheetName val="Fördelning i funk.indelad RR"/>
      <sheetName val="Balansräkningar"/>
      <sheetName val="Finansieringsanalyser"/>
      <sheetName val="Redov.principer och noter"/>
      <sheetName val="Revisionsberättelse"/>
      <sheetName val="Årsstämmoprotokoll"/>
      <sheetName val="Sammanställning FB"/>
      <sheetName val="Årsstämmoprotokoll BU"/>
      <sheetName val="Sammanställning RPN"/>
      <sheetName val="Kundinfolinks"/>
      <sheetName val="Not referenser"/>
      <sheetName val="IndataBilan"/>
      <sheetName val="Inställningar"/>
      <sheetName val="DiaTim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troller"/>
      <sheetName val="Utdelning"/>
      <sheetName val="Försättsblad"/>
      <sheetName val="Förvaltningsberättelse"/>
      <sheetName val="RR-kostn"/>
      <sheetName val="BR"/>
      <sheetName val="Tilläggsupplysningar"/>
      <sheetName val="KF-analys iDM"/>
      <sheetName val="KF-analys DM"/>
      <sheetName val="RR-funk"/>
      <sheetName val="Kommentarer"/>
      <sheetName val="MAKROÅR"/>
    </sheetNames>
    <sheetDataSet>
      <sheetData sheetId="0"/>
      <sheetData sheetId="1"/>
      <sheetData sheetId="2"/>
      <sheetData sheetId="3" refreshError="1">
        <row r="6">
          <cell r="I6" t="str">
            <v>Nej</v>
          </cell>
        </row>
      </sheetData>
      <sheetData sheetId="4"/>
      <sheetData sheetId="5" refreshError="1">
        <row r="92">
          <cell r="F92">
            <v>127532</v>
          </cell>
        </row>
        <row r="93">
          <cell r="F93">
            <v>660162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3DC11-AC23-49CF-86E4-2C08079EF7C7}">
  <sheetPr>
    <pageSetUpPr fitToPage="1"/>
  </sheetPr>
  <dimension ref="A2:M81"/>
  <sheetViews>
    <sheetView tabSelected="1" topLeftCell="A13" workbookViewId="0">
      <selection activeCell="S24" sqref="S24:S25"/>
    </sheetView>
  </sheetViews>
  <sheetFormatPr defaultRowHeight="12.75"/>
  <cols>
    <col min="1" max="1" width="49" customWidth="1"/>
  </cols>
  <sheetData>
    <row r="2" spans="1:13">
      <c r="A2" s="184" t="s">
        <v>70</v>
      </c>
    </row>
    <row r="3" spans="1:13">
      <c r="A3" s="1" t="s">
        <v>40</v>
      </c>
    </row>
    <row r="4" spans="1:13">
      <c r="A4" s="65" t="s">
        <v>5</v>
      </c>
      <c r="B4" s="65"/>
      <c r="C4" s="190">
        <v>2024</v>
      </c>
      <c r="D4" s="190"/>
      <c r="E4" s="190"/>
      <c r="F4" s="190"/>
    </row>
    <row r="5" spans="1:13">
      <c r="A5" s="65" t="s">
        <v>4</v>
      </c>
      <c r="B5" s="63" t="s">
        <v>72</v>
      </c>
      <c r="C5" s="63" t="s">
        <v>36</v>
      </c>
      <c r="D5" s="63" t="s">
        <v>37</v>
      </c>
      <c r="E5" s="63" t="s">
        <v>38</v>
      </c>
      <c r="F5" s="63" t="s">
        <v>39</v>
      </c>
    </row>
    <row r="6" spans="1:13">
      <c r="A6" s="13" t="s">
        <v>6</v>
      </c>
      <c r="B6" s="50">
        <f>SUM(C6:F6)</f>
        <v>78489</v>
      </c>
      <c r="C6" s="50"/>
      <c r="D6" s="50">
        <v>26018</v>
      </c>
      <c r="E6" s="50">
        <f>26627+3600</f>
        <v>30227</v>
      </c>
      <c r="F6" s="12">
        <v>22244</v>
      </c>
      <c r="H6" s="77"/>
      <c r="J6" s="77"/>
    </row>
    <row r="7" spans="1:13">
      <c r="A7" s="187" t="s">
        <v>7</v>
      </c>
      <c r="B7" s="54">
        <f>SUM(C7:F7)</f>
        <v>32306</v>
      </c>
      <c r="C7" s="54"/>
      <c r="D7" s="54">
        <v>11148</v>
      </c>
      <c r="E7" s="54">
        <f>12385+1</f>
        <v>12386</v>
      </c>
      <c r="F7" s="56">
        <f>7175+1597</f>
        <v>8772</v>
      </c>
      <c r="H7" s="77"/>
    </row>
    <row r="8" spans="1:13">
      <c r="A8" s="188" t="s">
        <v>5</v>
      </c>
      <c r="B8" s="10">
        <f>SUM(B6:B7)</f>
        <v>110795</v>
      </c>
      <c r="C8" s="46" t="s">
        <v>2</v>
      </c>
      <c r="D8" s="10">
        <f>SUM(D6:D7)</f>
        <v>37166</v>
      </c>
      <c r="E8" s="10">
        <f>SUM(E6:E7)</f>
        <v>42613</v>
      </c>
      <c r="F8" s="10">
        <f>SUM(F6:F7)</f>
        <v>31016</v>
      </c>
      <c r="H8" s="77"/>
      <c r="I8" s="77"/>
      <c r="J8" s="77"/>
    </row>
    <row r="9" spans="1:13">
      <c r="A9" s="188" t="s">
        <v>8</v>
      </c>
      <c r="B9" s="12"/>
      <c r="C9" s="12"/>
      <c r="D9" s="12"/>
      <c r="E9" s="12"/>
      <c r="F9" s="12"/>
      <c r="H9" s="77"/>
      <c r="J9" s="77"/>
    </row>
    <row r="10" spans="1:13">
      <c r="A10" s="66" t="s">
        <v>5</v>
      </c>
      <c r="B10" s="12">
        <f>B8</f>
        <v>110795</v>
      </c>
      <c r="C10" s="50"/>
      <c r="D10" s="12">
        <f>D8</f>
        <v>37166</v>
      </c>
      <c r="E10" s="12">
        <f>E8</f>
        <v>42613</v>
      </c>
      <c r="F10" s="12">
        <f>F8</f>
        <v>31016</v>
      </c>
    </row>
    <row r="11" spans="1:13">
      <c r="A11" s="187" t="s">
        <v>9</v>
      </c>
      <c r="B11" s="54"/>
      <c r="C11" s="54"/>
      <c r="D11" s="54"/>
      <c r="E11" s="54"/>
      <c r="F11" s="54"/>
    </row>
    <row r="12" spans="1:13">
      <c r="A12" s="188" t="s">
        <v>8</v>
      </c>
      <c r="B12" s="10">
        <f>SUM(B10:B11)</f>
        <v>110795</v>
      </c>
      <c r="C12" s="46" t="s">
        <v>2</v>
      </c>
      <c r="D12" s="10">
        <f>SUM(D10:D11)</f>
        <v>37166</v>
      </c>
      <c r="E12" s="10">
        <f>SUM(E10:E11)</f>
        <v>42613</v>
      </c>
      <c r="F12" s="10">
        <f>SUM(F10:F11)</f>
        <v>31016</v>
      </c>
      <c r="I12" s="77"/>
      <c r="J12" s="77"/>
      <c r="K12" s="77"/>
      <c r="L12" s="77"/>
      <c r="M12" s="77"/>
    </row>
    <row r="13" spans="1:13">
      <c r="A13" s="188" t="s">
        <v>10</v>
      </c>
      <c r="B13" s="12"/>
      <c r="C13" s="12"/>
      <c r="D13" s="12"/>
      <c r="E13" s="12"/>
      <c r="F13" s="12"/>
    </row>
    <row r="14" spans="1:13">
      <c r="A14" s="13" t="s">
        <v>6</v>
      </c>
      <c r="B14" s="50">
        <f>SUM(C14:F14)</f>
        <v>78489</v>
      </c>
      <c r="C14" s="50"/>
      <c r="D14" s="10">
        <f>D6</f>
        <v>26018</v>
      </c>
      <c r="E14" s="12">
        <f>E6</f>
        <v>30227</v>
      </c>
      <c r="F14" s="12">
        <f>F6</f>
        <v>22244</v>
      </c>
      <c r="H14" s="77"/>
      <c r="J14" s="77"/>
      <c r="L14" s="77"/>
    </row>
    <row r="15" spans="1:13">
      <c r="A15" s="187" t="s">
        <v>11</v>
      </c>
      <c r="B15" s="54">
        <f>SUM(C15:F15)</f>
        <v>5831</v>
      </c>
      <c r="C15" s="54"/>
      <c r="D15" s="54">
        <v>2031</v>
      </c>
      <c r="E15" s="54">
        <v>2204</v>
      </c>
      <c r="F15" s="54">
        <v>1596</v>
      </c>
      <c r="H15" s="77"/>
      <c r="L15" s="77"/>
    </row>
    <row r="16" spans="1:13">
      <c r="A16" s="188" t="s">
        <v>10</v>
      </c>
      <c r="B16" s="10">
        <f>SUM(B14:B15)</f>
        <v>84320</v>
      </c>
      <c r="C16" s="46" t="s">
        <v>2</v>
      </c>
      <c r="D16" s="46">
        <f>SUM(D14:D15)</f>
        <v>28049</v>
      </c>
      <c r="E16" s="10">
        <f>SUM(E14:E15)</f>
        <v>32431</v>
      </c>
      <c r="F16" s="10">
        <f>SUM(F14:F15)</f>
        <v>23840</v>
      </c>
      <c r="H16" s="176"/>
      <c r="I16" s="77"/>
      <c r="J16" s="176"/>
      <c r="L16" s="77"/>
    </row>
    <row r="17" spans="1:13">
      <c r="A17" s="13" t="s">
        <v>12</v>
      </c>
      <c r="B17" s="12"/>
      <c r="C17" s="12"/>
      <c r="D17" s="11"/>
      <c r="E17" s="11"/>
      <c r="F17" s="11"/>
      <c r="I17" s="77"/>
      <c r="L17" s="176"/>
      <c r="M17" s="77"/>
    </row>
    <row r="18" spans="1:13">
      <c r="A18" s="2" t="s">
        <v>10</v>
      </c>
      <c r="B18" s="12">
        <f>B16</f>
        <v>84320</v>
      </c>
      <c r="C18" s="50"/>
      <c r="D18" s="12">
        <f>SUM(D16:D17)</f>
        <v>28049</v>
      </c>
      <c r="E18" s="12">
        <f>SUM(E16:E17)</f>
        <v>32431</v>
      </c>
      <c r="F18" s="12">
        <f>SUM(F16:F17)</f>
        <v>23840</v>
      </c>
      <c r="I18" s="77"/>
    </row>
    <row r="19" spans="1:13">
      <c r="A19" s="53" t="s">
        <v>9</v>
      </c>
      <c r="B19" s="54"/>
      <c r="C19" s="54"/>
      <c r="D19" s="54"/>
      <c r="E19" s="54"/>
      <c r="F19" s="54"/>
    </row>
    <row r="20" spans="1:13">
      <c r="A20" s="2" t="s">
        <v>12</v>
      </c>
      <c r="B20" s="10">
        <f>SUM(B18:B19)</f>
        <v>84320</v>
      </c>
      <c r="C20" s="46" t="s">
        <v>2</v>
      </c>
      <c r="D20" s="10">
        <f>SUM(D18:D19)</f>
        <v>28049</v>
      </c>
      <c r="E20" s="10">
        <f>SUM(E18:E19)</f>
        <v>32431</v>
      </c>
      <c r="F20" s="10">
        <f>SUM(F18:F19)</f>
        <v>23840</v>
      </c>
    </row>
    <row r="21" spans="1:13">
      <c r="A21" s="11"/>
      <c r="B21" s="11"/>
      <c r="C21" s="11"/>
      <c r="D21" s="11"/>
      <c r="E21" s="11"/>
      <c r="F21" s="11"/>
    </row>
    <row r="22" spans="1:13">
      <c r="A22" s="1" t="s">
        <v>41</v>
      </c>
      <c r="B22" s="1"/>
      <c r="C22" s="1"/>
      <c r="D22" s="1"/>
      <c r="E22" s="1"/>
      <c r="F22" s="1"/>
    </row>
    <row r="23" spans="1:13">
      <c r="A23" s="65" t="s">
        <v>13</v>
      </c>
      <c r="B23" s="65"/>
      <c r="C23" s="190">
        <v>2024</v>
      </c>
      <c r="D23" s="190"/>
      <c r="E23" s="190"/>
      <c r="F23" s="190"/>
    </row>
    <row r="24" spans="1:13">
      <c r="A24" s="65" t="s">
        <v>4</v>
      </c>
      <c r="B24" s="63" t="s">
        <v>0</v>
      </c>
      <c r="C24" s="63" t="s">
        <v>36</v>
      </c>
      <c r="D24" s="63" t="s">
        <v>37</v>
      </c>
      <c r="E24" s="63" t="s">
        <v>38</v>
      </c>
      <c r="F24" s="63" t="s">
        <v>39</v>
      </c>
    </row>
    <row r="25" spans="1:13">
      <c r="A25" s="13" t="s">
        <v>1</v>
      </c>
      <c r="B25" s="50"/>
      <c r="C25" s="50"/>
      <c r="D25" s="50">
        <v>911476</v>
      </c>
      <c r="E25" s="50">
        <v>903901</v>
      </c>
      <c r="F25" s="12">
        <v>882579</v>
      </c>
    </row>
    <row r="26" spans="1:13">
      <c r="A26" s="53" t="s">
        <v>14</v>
      </c>
      <c r="B26" s="54"/>
      <c r="C26" s="54"/>
      <c r="D26" s="54">
        <v>1352471</v>
      </c>
      <c r="E26" s="54">
        <v>1363096</v>
      </c>
      <c r="F26" s="56">
        <v>1350010</v>
      </c>
    </row>
    <row r="27" spans="1:13">
      <c r="A27" s="2" t="s">
        <v>15</v>
      </c>
      <c r="B27" s="179" t="s">
        <v>2</v>
      </c>
      <c r="C27" s="179" t="s">
        <v>2</v>
      </c>
      <c r="D27" s="180">
        <f>D25/D26</f>
        <v>0.6739338588405962</v>
      </c>
      <c r="E27" s="180">
        <f>E25/E26</f>
        <v>0.66312350707507028</v>
      </c>
      <c r="F27" s="180">
        <f>F25/F26</f>
        <v>0.65375737957496616</v>
      </c>
    </row>
    <row r="28" spans="1:13">
      <c r="A28" s="5"/>
      <c r="B28" s="4"/>
      <c r="C28" s="4"/>
      <c r="D28" s="4"/>
      <c r="E28" s="4"/>
      <c r="F28" s="4"/>
    </row>
    <row r="29" spans="1:13">
      <c r="A29" s="65" t="s">
        <v>3</v>
      </c>
      <c r="B29" s="65"/>
      <c r="C29" s="190">
        <v>2024</v>
      </c>
      <c r="D29" s="190"/>
      <c r="E29" s="190"/>
      <c r="F29" s="190"/>
    </row>
    <row r="30" spans="1:13">
      <c r="A30" s="65" t="s">
        <v>4</v>
      </c>
      <c r="B30" s="63" t="s">
        <v>0</v>
      </c>
      <c r="C30" s="63" t="s">
        <v>36</v>
      </c>
      <c r="D30" s="63" t="s">
        <v>37</v>
      </c>
      <c r="E30" s="63" t="s">
        <v>42</v>
      </c>
      <c r="F30" s="63" t="s">
        <v>39</v>
      </c>
      <c r="I30" s="178"/>
      <c r="J30" s="178"/>
      <c r="K30" s="178"/>
    </row>
    <row r="31" spans="1:13">
      <c r="A31" s="13" t="s">
        <v>16</v>
      </c>
      <c r="B31" s="50"/>
      <c r="C31" s="50"/>
      <c r="D31" s="50"/>
      <c r="E31" s="50"/>
      <c r="F31" s="50"/>
    </row>
    <row r="32" spans="1:13">
      <c r="A32" s="13" t="s">
        <v>17</v>
      </c>
      <c r="B32" s="50"/>
      <c r="C32" s="50"/>
      <c r="D32" s="50">
        <v>115000</v>
      </c>
      <c r="E32" s="50">
        <v>115000</v>
      </c>
      <c r="F32" s="50">
        <v>115000</v>
      </c>
      <c r="I32" s="77"/>
      <c r="J32" s="77"/>
      <c r="K32" s="77"/>
    </row>
    <row r="33" spans="1:12">
      <c r="A33" s="13" t="s">
        <v>18</v>
      </c>
      <c r="B33" s="50"/>
      <c r="C33" s="50"/>
      <c r="D33" s="50">
        <v>94012</v>
      </c>
      <c r="E33" s="50">
        <f>29553+69139</f>
        <v>98692</v>
      </c>
      <c r="F33" s="12">
        <v>87074</v>
      </c>
    </row>
    <row r="34" spans="1:12">
      <c r="A34" s="13" t="s">
        <v>19</v>
      </c>
      <c r="B34" s="50"/>
      <c r="C34" s="50"/>
      <c r="D34" s="50"/>
      <c r="E34" s="50"/>
      <c r="F34" s="50"/>
    </row>
    <row r="35" spans="1:12">
      <c r="A35" s="53" t="s">
        <v>20</v>
      </c>
      <c r="B35" s="54"/>
      <c r="C35" s="54"/>
      <c r="D35" s="54">
        <v>-198192</v>
      </c>
      <c r="E35" s="54">
        <v>-187831</v>
      </c>
      <c r="F35" s="56">
        <v>-204801</v>
      </c>
      <c r="I35" s="77"/>
      <c r="J35" s="77"/>
      <c r="K35" s="186"/>
      <c r="L35" s="186"/>
    </row>
    <row r="36" spans="1:12">
      <c r="A36" s="2" t="s">
        <v>21</v>
      </c>
      <c r="B36" s="46" t="s">
        <v>2</v>
      </c>
      <c r="C36" s="46" t="s">
        <v>2</v>
      </c>
      <c r="D36" s="10">
        <f>SUM(D31:D35)</f>
        <v>10820</v>
      </c>
      <c r="E36" s="10">
        <f>SUM(E31:E35)</f>
        <v>25861</v>
      </c>
      <c r="F36" s="10">
        <f>SUM(F31:F35)</f>
        <v>-2727</v>
      </c>
      <c r="I36" s="176"/>
      <c r="J36" s="176"/>
      <c r="K36" s="176"/>
    </row>
    <row r="37" spans="1:12">
      <c r="A37" s="13" t="s">
        <v>22</v>
      </c>
      <c r="B37" s="12"/>
      <c r="C37" s="11"/>
      <c r="D37" s="11"/>
      <c r="E37" s="52"/>
      <c r="F37" s="11"/>
    </row>
    <row r="38" spans="1:12">
      <c r="A38" s="2" t="s">
        <v>21</v>
      </c>
      <c r="B38" s="50" t="str">
        <f>B36</f>
        <v>-</v>
      </c>
      <c r="C38" s="50" t="str">
        <f>C36</f>
        <v>-</v>
      </c>
      <c r="D38" s="46">
        <f>D36</f>
        <v>10820</v>
      </c>
      <c r="E38" s="10">
        <f>E36</f>
        <v>25861</v>
      </c>
      <c r="F38" s="10">
        <f>F36</f>
        <v>-2727</v>
      </c>
    </row>
    <row r="39" spans="1:12">
      <c r="A39" s="13" t="s">
        <v>23</v>
      </c>
      <c r="B39" s="12"/>
      <c r="C39" s="12"/>
      <c r="D39" s="12">
        <v>153164</v>
      </c>
      <c r="E39" s="12">
        <f>144362+3000+3600+1</f>
        <v>150963</v>
      </c>
      <c r="F39" s="12">
        <v>148223</v>
      </c>
    </row>
    <row r="40" spans="1:12" ht="12" customHeight="1">
      <c r="A40" s="2" t="s">
        <v>43</v>
      </c>
      <c r="B40" s="51" t="s">
        <v>2</v>
      </c>
      <c r="C40" s="51" t="s">
        <v>2</v>
      </c>
      <c r="D40" s="185">
        <f>D36/D39</f>
        <v>7.0643232091091898E-2</v>
      </c>
      <c r="E40" s="185">
        <f>E36/E39</f>
        <v>0.17130687651941204</v>
      </c>
      <c r="F40" s="185">
        <f>F36/F39</f>
        <v>-1.8397954433522462E-2</v>
      </c>
    </row>
    <row r="41" spans="1:12" ht="0.75" hidden="1" customHeight="1">
      <c r="A41" s="5"/>
      <c r="B41" s="1"/>
      <c r="C41" s="1"/>
      <c r="D41" s="1"/>
      <c r="E41" s="1"/>
      <c r="F41" s="1"/>
    </row>
    <row r="42" spans="1:12" hidden="1">
      <c r="A42" s="65" t="s">
        <v>24</v>
      </c>
      <c r="B42" s="65"/>
      <c r="C42" s="190">
        <v>2024</v>
      </c>
      <c r="D42" s="190"/>
      <c r="E42" s="190"/>
      <c r="F42" s="190"/>
    </row>
    <row r="43" spans="1:12" hidden="1">
      <c r="A43" s="65" t="s">
        <v>4</v>
      </c>
      <c r="B43" s="63" t="s">
        <v>0</v>
      </c>
      <c r="C43" s="63" t="s">
        <v>36</v>
      </c>
      <c r="D43" s="63" t="s">
        <v>37</v>
      </c>
      <c r="E43" s="63" t="s">
        <v>42</v>
      </c>
      <c r="F43" s="63" t="s">
        <v>39</v>
      </c>
    </row>
    <row r="44" spans="1:12" hidden="1">
      <c r="A44" s="2" t="s">
        <v>5</v>
      </c>
      <c r="B44" s="1"/>
      <c r="C44" s="1"/>
      <c r="D44" s="1"/>
      <c r="E44" s="1"/>
      <c r="F44" s="1"/>
    </row>
    <row r="45" spans="1:12" hidden="1">
      <c r="A45" s="53" t="s">
        <v>25</v>
      </c>
      <c r="B45" s="54"/>
      <c r="C45" s="54"/>
      <c r="D45" s="54"/>
      <c r="E45" s="54"/>
      <c r="F45" s="54"/>
    </row>
    <row r="46" spans="1:12" hidden="1">
      <c r="A46" s="2" t="s">
        <v>26</v>
      </c>
      <c r="B46" s="50"/>
      <c r="C46" s="50"/>
      <c r="D46" s="50"/>
      <c r="E46" s="50"/>
      <c r="F46" s="50"/>
    </row>
    <row r="47" spans="1:12">
      <c r="A47" s="2"/>
      <c r="B47" s="3"/>
      <c r="C47" s="3"/>
      <c r="D47" s="3"/>
      <c r="E47" s="3"/>
      <c r="F47" s="3"/>
    </row>
    <row r="48" spans="1:12">
      <c r="A48" s="6" t="s">
        <v>27</v>
      </c>
      <c r="B48" s="65"/>
      <c r="C48" s="190">
        <v>2024</v>
      </c>
      <c r="D48" s="190"/>
      <c r="E48" s="190"/>
      <c r="F48" s="190"/>
    </row>
    <row r="49" spans="1:10">
      <c r="A49" s="7" t="s">
        <v>4</v>
      </c>
      <c r="B49" s="63" t="s">
        <v>72</v>
      </c>
      <c r="C49" s="63" t="s">
        <v>36</v>
      </c>
      <c r="D49" s="63" t="s">
        <v>37</v>
      </c>
      <c r="E49" s="63" t="s">
        <v>42</v>
      </c>
      <c r="F49" s="63" t="s">
        <v>39</v>
      </c>
    </row>
    <row r="50" spans="1:10">
      <c r="A50" s="2" t="s">
        <v>28</v>
      </c>
      <c r="B50" s="46">
        <f>C50+D50+E50+F50</f>
        <v>937435</v>
      </c>
      <c r="C50" s="46"/>
      <c r="D50" s="46">
        <v>311391</v>
      </c>
      <c r="E50" s="46">
        <v>322275</v>
      </c>
      <c r="F50" s="10">
        <v>303769</v>
      </c>
      <c r="H50" s="77"/>
      <c r="I50" s="77"/>
      <c r="J50" s="77"/>
    </row>
    <row r="51" spans="1:10">
      <c r="A51" s="13" t="s">
        <v>29</v>
      </c>
      <c r="B51" s="50"/>
      <c r="C51" s="50"/>
      <c r="D51" s="50"/>
      <c r="E51" s="50"/>
      <c r="F51" s="50"/>
    </row>
    <row r="52" spans="1:10">
      <c r="A52" s="13" t="s">
        <v>30</v>
      </c>
      <c r="B52" s="50">
        <f>C52+D52+E52+F52</f>
        <v>9945</v>
      </c>
      <c r="C52" s="50"/>
      <c r="D52" s="50">
        <v>8834</v>
      </c>
      <c r="E52" s="50">
        <v>-1409</v>
      </c>
      <c r="F52" s="12">
        <v>2520</v>
      </c>
      <c r="G52" s="50"/>
      <c r="H52" s="50"/>
      <c r="I52" s="77"/>
    </row>
    <row r="53" spans="1:10">
      <c r="A53" s="53" t="s">
        <v>31</v>
      </c>
      <c r="B53" s="54">
        <f>E53+D53+C53+F53</f>
        <v>-107116</v>
      </c>
      <c r="C53" s="54"/>
      <c r="D53" s="54">
        <v>-35607</v>
      </c>
      <c r="E53" s="54">
        <v>-36541</v>
      </c>
      <c r="F53" s="54">
        <v>-34968</v>
      </c>
    </row>
    <row r="54" spans="1:10">
      <c r="A54" s="2" t="s">
        <v>33</v>
      </c>
      <c r="B54" s="10">
        <f>SUM(B52:B53)</f>
        <v>-97171</v>
      </c>
      <c r="C54" s="46"/>
      <c r="D54" s="10">
        <f>SUM(D52:D53)</f>
        <v>-26773</v>
      </c>
      <c r="E54" s="10">
        <f>SUM(E52:E53)</f>
        <v>-37950</v>
      </c>
      <c r="F54" s="10">
        <f>SUM(F52:F53)</f>
        <v>-32448</v>
      </c>
    </row>
    <row r="55" spans="1:10">
      <c r="A55" s="2" t="s">
        <v>34</v>
      </c>
      <c r="B55" s="46">
        <f>F55+E55+D55+C55</f>
        <v>840264</v>
      </c>
      <c r="C55" s="46"/>
      <c r="D55" s="10">
        <f>D50+D54</f>
        <v>284618</v>
      </c>
      <c r="E55" s="10">
        <f>E50+E54</f>
        <v>284325</v>
      </c>
      <c r="F55" s="10">
        <f>F50+F54</f>
        <v>271321</v>
      </c>
    </row>
    <row r="56" spans="1:10">
      <c r="A56" s="2" t="s">
        <v>63</v>
      </c>
      <c r="B56" s="189">
        <f>(840265-886593)/886593*100</f>
        <v>-5.2253965461040188</v>
      </c>
      <c r="C56" s="51"/>
      <c r="D56" s="51">
        <f>(284619-279863)/279863*100</f>
        <v>1.6994029221440492</v>
      </c>
      <c r="E56" s="189">
        <f>(284324-293595)/293595*100</f>
        <v>-3.1577513241029309</v>
      </c>
      <c r="F56" s="180">
        <f>(271321-313123)/313123</f>
        <v>-0.13350025389383724</v>
      </c>
    </row>
    <row r="58" spans="1:10">
      <c r="A58" s="6" t="s">
        <v>65</v>
      </c>
      <c r="B58" s="65"/>
      <c r="C58" s="190">
        <v>2024</v>
      </c>
      <c r="D58" s="190"/>
      <c r="E58" s="190"/>
      <c r="F58" s="190"/>
    </row>
    <row r="59" spans="1:10">
      <c r="A59" s="7" t="s">
        <v>4</v>
      </c>
      <c r="B59" s="63" t="s">
        <v>72</v>
      </c>
      <c r="C59" s="63" t="s">
        <v>36</v>
      </c>
      <c r="D59" s="63" t="s">
        <v>37</v>
      </c>
      <c r="E59" s="63" t="s">
        <v>42</v>
      </c>
      <c r="F59" s="63" t="s">
        <v>39</v>
      </c>
    </row>
    <row r="60" spans="1:10">
      <c r="A60" s="2" t="s">
        <v>68</v>
      </c>
    </row>
    <row r="61" spans="1:10">
      <c r="A61" s="2" t="s">
        <v>64</v>
      </c>
      <c r="B61" s="10">
        <f>SUM(C61:F61)</f>
        <v>420665</v>
      </c>
      <c r="C61" s="10"/>
      <c r="D61" s="10">
        <v>140867</v>
      </c>
      <c r="E61" s="10">
        <v>145047</v>
      </c>
      <c r="F61" s="10">
        <v>134751</v>
      </c>
    </row>
    <row r="62" spans="1:10">
      <c r="A62" s="13" t="s">
        <v>29</v>
      </c>
    </row>
    <row r="63" spans="1:10">
      <c r="A63" s="13" t="s">
        <v>30</v>
      </c>
      <c r="B63" s="12">
        <f>SUM(C63:F63)</f>
        <v>4464</v>
      </c>
      <c r="C63" s="12"/>
      <c r="D63" s="12">
        <v>3967</v>
      </c>
      <c r="E63" s="12">
        <v>-621</v>
      </c>
      <c r="F63" s="12">
        <v>1118</v>
      </c>
      <c r="G63" s="12"/>
      <c r="H63" s="12"/>
    </row>
    <row r="64" spans="1:10">
      <c r="A64" s="53" t="s">
        <v>31</v>
      </c>
      <c r="B64" s="181" t="s">
        <v>2</v>
      </c>
      <c r="C64" s="181"/>
      <c r="D64" s="181" t="s">
        <v>2</v>
      </c>
      <c r="E64" s="181" t="s">
        <v>2</v>
      </c>
      <c r="F64" s="181" t="s">
        <v>2</v>
      </c>
    </row>
    <row r="65" spans="1:8">
      <c r="A65" s="2" t="s">
        <v>33</v>
      </c>
      <c r="B65" s="10">
        <f>SUM(B63:B64)</f>
        <v>4464</v>
      </c>
      <c r="C65" s="46"/>
      <c r="D65" s="10">
        <f>SUM(D63:D64)</f>
        <v>3967</v>
      </c>
      <c r="E65" s="10">
        <f>SUM(E63:E64)</f>
        <v>-621</v>
      </c>
      <c r="F65" s="10">
        <f>SUM(F63:F64)</f>
        <v>1118</v>
      </c>
    </row>
    <row r="66" spans="1:8">
      <c r="A66" s="2" t="s">
        <v>34</v>
      </c>
      <c r="B66" s="10">
        <f>SUM(C66:F66)</f>
        <v>425129</v>
      </c>
      <c r="C66" s="10"/>
      <c r="D66" s="10">
        <f>D61+D65</f>
        <v>144834</v>
      </c>
      <c r="E66" s="10">
        <f>E61+E65</f>
        <v>144426</v>
      </c>
      <c r="F66" s="10">
        <f>F61+F65</f>
        <v>135869</v>
      </c>
    </row>
    <row r="67" spans="1:8">
      <c r="A67" s="2" t="s">
        <v>63</v>
      </c>
      <c r="B67" s="11">
        <f>(425129-446780)/446780*100</f>
        <v>-4.846009221540803</v>
      </c>
      <c r="C67" s="11"/>
      <c r="D67" s="11">
        <f>(144834-138134)/138134*100</f>
        <v>4.8503626912997522</v>
      </c>
      <c r="E67" s="11">
        <f>(144426-143931)/143931*100</f>
        <v>0.34391479250474183</v>
      </c>
      <c r="F67" s="11">
        <f>(135869-164715)/164715*100</f>
        <v>-17.512673405579335</v>
      </c>
    </row>
    <row r="69" spans="1:8">
      <c r="A69" s="2" t="s">
        <v>69</v>
      </c>
    </row>
    <row r="70" spans="1:8">
      <c r="A70" s="2" t="s">
        <v>64</v>
      </c>
      <c r="B70" s="46">
        <f>C70+D70+E70+F70</f>
        <v>507606</v>
      </c>
      <c r="C70" s="10"/>
      <c r="D70" s="10">
        <v>167991</v>
      </c>
      <c r="E70" s="10">
        <v>173791</v>
      </c>
      <c r="F70" s="10">
        <v>165824</v>
      </c>
    </row>
    <row r="71" spans="1:8">
      <c r="A71" s="13" t="s">
        <v>29</v>
      </c>
      <c r="F71" s="12"/>
    </row>
    <row r="72" spans="1:8">
      <c r="A72" s="13" t="s">
        <v>71</v>
      </c>
      <c r="B72" s="12"/>
      <c r="F72" s="12"/>
    </row>
    <row r="73" spans="1:8">
      <c r="A73" s="13" t="s">
        <v>30</v>
      </c>
      <c r="B73" s="50">
        <f>C73+D73+E73+F73</f>
        <v>5367</v>
      </c>
      <c r="C73" s="12"/>
      <c r="D73" s="12">
        <v>4764</v>
      </c>
      <c r="E73" s="12">
        <f>-760-39</f>
        <v>-799</v>
      </c>
      <c r="F73" s="12">
        <v>1402</v>
      </c>
      <c r="G73" s="12"/>
      <c r="H73" s="12"/>
    </row>
    <row r="74" spans="1:8">
      <c r="A74" s="53" t="s">
        <v>31</v>
      </c>
      <c r="B74" s="182">
        <f>SUM(C74:F74)</f>
        <v>-106926</v>
      </c>
      <c r="C74" s="182"/>
      <c r="D74" s="182">
        <v>-35607</v>
      </c>
      <c r="E74" s="182">
        <f>-36390+39</f>
        <v>-36351</v>
      </c>
      <c r="F74" s="182">
        <v>-34968</v>
      </c>
    </row>
    <row r="75" spans="1:8">
      <c r="A75" s="2" t="s">
        <v>33</v>
      </c>
      <c r="B75" s="10">
        <f>SUM(B72:B74)</f>
        <v>-101559</v>
      </c>
      <c r="C75" s="10"/>
      <c r="D75" s="10">
        <f>SUM(D71:D74)</f>
        <v>-30843</v>
      </c>
      <c r="E75" s="10">
        <f>SUM(E71:E74)</f>
        <v>-37150</v>
      </c>
      <c r="F75" s="10">
        <f>SUM(F71:F74)</f>
        <v>-33566</v>
      </c>
    </row>
    <row r="76" spans="1:8">
      <c r="A76" s="2" t="s">
        <v>34</v>
      </c>
      <c r="B76" s="46">
        <f>C76+D76+E76+F76</f>
        <v>406047</v>
      </c>
      <c r="C76" s="10"/>
      <c r="D76" s="10">
        <f>D70+D75</f>
        <v>137148</v>
      </c>
      <c r="E76" s="10">
        <f>E70+E75</f>
        <v>136641</v>
      </c>
      <c r="F76" s="10">
        <f>F70+F75</f>
        <v>132258</v>
      </c>
    </row>
    <row r="77" spans="1:8">
      <c r="A77" s="2" t="s">
        <v>63</v>
      </c>
      <c r="B77" s="11">
        <f>(406047-429059)/429059*100</f>
        <v>-5.3633649451474037</v>
      </c>
      <c r="C77" s="11"/>
      <c r="D77" s="11">
        <f>(137148-138449)/138449*100</f>
        <v>-0.93969620582308278</v>
      </c>
      <c r="E77" s="11">
        <f>(136641-145847)/145847*100</f>
        <v>-6.3120941808881907</v>
      </c>
      <c r="F77" s="11">
        <f>(132258-144752)/144752*100</f>
        <v>-8.631314247816956</v>
      </c>
    </row>
    <row r="79" spans="1:8">
      <c r="B79" s="12"/>
      <c r="C79" s="12"/>
      <c r="D79" s="12"/>
      <c r="E79" s="12"/>
      <c r="F79" s="12"/>
    </row>
    <row r="80" spans="1:8">
      <c r="E80" s="12"/>
      <c r="F80" s="77"/>
    </row>
    <row r="81" spans="5:5">
      <c r="E81" s="77"/>
    </row>
  </sheetData>
  <mergeCells count="6">
    <mergeCell ref="C58:F58"/>
    <mergeCell ref="C4:F4"/>
    <mergeCell ref="C23:F23"/>
    <mergeCell ref="C29:F29"/>
    <mergeCell ref="C42:F42"/>
    <mergeCell ref="C48:F48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ignoredErrors>
    <ignoredError sqref="B74 E74" unlockedFormula="1"/>
    <ignoredError sqref="E75:F7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185F0-02AB-4888-99D3-066B6D252941}">
  <sheetPr>
    <pageSetUpPr fitToPage="1"/>
  </sheetPr>
  <dimension ref="A2:M80"/>
  <sheetViews>
    <sheetView zoomScaleNormal="100" workbookViewId="0">
      <selection activeCell="E16" sqref="E16"/>
    </sheetView>
  </sheetViews>
  <sheetFormatPr defaultRowHeight="12.75"/>
  <cols>
    <col min="1" max="1" width="49" customWidth="1"/>
    <col min="9" max="11" width="9.140625" customWidth="1"/>
  </cols>
  <sheetData>
    <row r="2" spans="1:12">
      <c r="A2" s="184" t="s">
        <v>70</v>
      </c>
    </row>
    <row r="3" spans="1:12">
      <c r="A3" s="1" t="s">
        <v>40</v>
      </c>
    </row>
    <row r="4" spans="1:12">
      <c r="A4" s="65" t="s">
        <v>5</v>
      </c>
      <c r="B4" s="62"/>
      <c r="C4" s="190">
        <v>2023</v>
      </c>
      <c r="D4" s="190"/>
      <c r="E4" s="190"/>
      <c r="F4" s="190"/>
    </row>
    <row r="5" spans="1:12">
      <c r="A5" s="65" t="s">
        <v>4</v>
      </c>
      <c r="B5" s="64" t="s">
        <v>0</v>
      </c>
      <c r="C5" s="63" t="s">
        <v>36</v>
      </c>
      <c r="D5" s="63" t="s">
        <v>37</v>
      </c>
      <c r="E5" s="63" t="s">
        <v>38</v>
      </c>
      <c r="F5" s="63" t="s">
        <v>39</v>
      </c>
    </row>
    <row r="6" spans="1:12">
      <c r="A6" s="8" t="s">
        <v>6</v>
      </c>
      <c r="B6" s="50">
        <f>SUM(C6:F6)</f>
        <v>64193</v>
      </c>
      <c r="C6" s="50">
        <v>31432</v>
      </c>
      <c r="D6" s="50">
        <v>20876</v>
      </c>
      <c r="E6" s="50">
        <v>-18792</v>
      </c>
      <c r="F6" s="12">
        <v>30677</v>
      </c>
      <c r="H6" s="77"/>
      <c r="J6" s="77"/>
    </row>
    <row r="7" spans="1:12">
      <c r="A7" s="49" t="s">
        <v>7</v>
      </c>
      <c r="B7" s="54">
        <f>SUM(C7:F7)</f>
        <v>93626</v>
      </c>
      <c r="C7" s="54">
        <v>10939</v>
      </c>
      <c r="D7" s="54">
        <v>11089</v>
      </c>
      <c r="E7" s="54">
        <v>61664</v>
      </c>
      <c r="F7" s="56">
        <f>9935-1</f>
        <v>9934</v>
      </c>
      <c r="H7" s="77"/>
    </row>
    <row r="8" spans="1:12">
      <c r="A8" s="66" t="s">
        <v>5</v>
      </c>
      <c r="B8" s="10">
        <f>SUM(B6:B7)</f>
        <v>157819</v>
      </c>
      <c r="C8" s="10">
        <f>SUM(C6:C7)</f>
        <v>42371</v>
      </c>
      <c r="D8" s="10">
        <f>SUM(D6:D7)</f>
        <v>31965</v>
      </c>
      <c r="E8" s="10">
        <f>SUM(E6:E7)</f>
        <v>42872</v>
      </c>
      <c r="F8" s="10">
        <f>SUM(F6:F7)</f>
        <v>40611</v>
      </c>
      <c r="H8" s="77"/>
      <c r="I8" s="77"/>
      <c r="J8" s="77"/>
    </row>
    <row r="9" spans="1:12">
      <c r="A9" s="57" t="s">
        <v>8</v>
      </c>
      <c r="B9" s="12"/>
      <c r="C9" s="12"/>
      <c r="D9" s="12"/>
      <c r="E9" s="12"/>
      <c r="F9" s="12"/>
      <c r="H9" s="77"/>
      <c r="J9" s="77"/>
    </row>
    <row r="10" spans="1:12">
      <c r="A10" s="8" t="s">
        <v>5</v>
      </c>
      <c r="B10" s="12">
        <f>B8</f>
        <v>157819</v>
      </c>
      <c r="C10" s="12">
        <f>C8</f>
        <v>42371</v>
      </c>
      <c r="D10" s="12">
        <f>D8</f>
        <v>31965</v>
      </c>
      <c r="E10" s="12">
        <f>E8</f>
        <v>42872</v>
      </c>
      <c r="F10" s="12">
        <f>F8</f>
        <v>40611</v>
      </c>
    </row>
    <row r="11" spans="1:12">
      <c r="A11" s="49" t="s">
        <v>9</v>
      </c>
      <c r="B11" s="54" t="s">
        <v>2</v>
      </c>
      <c r="C11" s="54" t="s">
        <v>2</v>
      </c>
      <c r="D11" s="54" t="s">
        <v>2</v>
      </c>
      <c r="E11" s="54" t="s">
        <v>2</v>
      </c>
      <c r="F11" s="54" t="s">
        <v>2</v>
      </c>
    </row>
    <row r="12" spans="1:12">
      <c r="A12" s="57" t="s">
        <v>8</v>
      </c>
      <c r="B12" s="10">
        <f>SUM(B10:B11)</f>
        <v>157819</v>
      </c>
      <c r="C12" s="10">
        <f>SUM(C10:C11)</f>
        <v>42371</v>
      </c>
      <c r="D12" s="10">
        <f>SUM(D10:D11)</f>
        <v>31965</v>
      </c>
      <c r="E12" s="10">
        <f>SUM(E10:E11)</f>
        <v>42872</v>
      </c>
      <c r="F12" s="10">
        <f>SUM(F10:F11)</f>
        <v>40611</v>
      </c>
    </row>
    <row r="13" spans="1:12">
      <c r="A13" s="57" t="s">
        <v>10</v>
      </c>
      <c r="B13" s="12"/>
      <c r="C13" s="12"/>
      <c r="D13" s="12"/>
      <c r="E13" s="12"/>
      <c r="F13" s="12"/>
    </row>
    <row r="14" spans="1:12">
      <c r="A14" s="8" t="s">
        <v>6</v>
      </c>
      <c r="B14" s="50">
        <f>SUM(C14:F14)</f>
        <v>64193</v>
      </c>
      <c r="C14" s="50">
        <f>C6</f>
        <v>31432</v>
      </c>
      <c r="D14" s="50">
        <f>D6</f>
        <v>20876</v>
      </c>
      <c r="E14" s="50">
        <f>E6</f>
        <v>-18792</v>
      </c>
      <c r="F14" s="12">
        <v>30677</v>
      </c>
      <c r="H14" s="77"/>
      <c r="J14" s="77"/>
      <c r="L14" s="77"/>
    </row>
    <row r="15" spans="1:12">
      <c r="A15" s="49" t="s">
        <v>11</v>
      </c>
      <c r="B15" s="54">
        <f>SUM(C15:F15)</f>
        <v>56691</v>
      </c>
      <c r="C15" s="54">
        <v>1613</v>
      </c>
      <c r="D15" s="54">
        <v>1584</v>
      </c>
      <c r="E15" s="54">
        <f>904+51705</f>
        <v>52609</v>
      </c>
      <c r="F15" s="54">
        <f>885</f>
        <v>885</v>
      </c>
      <c r="H15" s="77"/>
      <c r="L15" s="77"/>
    </row>
    <row r="16" spans="1:12">
      <c r="A16" s="57" t="s">
        <v>10</v>
      </c>
      <c r="B16" s="10">
        <f>SUM(B14:B15)</f>
        <v>120884</v>
      </c>
      <c r="C16" s="10">
        <f>SUM(C14:C15)</f>
        <v>33045</v>
      </c>
      <c r="D16" s="10">
        <f t="shared" ref="D16:E16" si="0">SUM(D14:D15)</f>
        <v>22460</v>
      </c>
      <c r="E16" s="10">
        <f t="shared" si="0"/>
        <v>33817</v>
      </c>
      <c r="F16" s="10">
        <f>SUM(F14:F15)</f>
        <v>31562</v>
      </c>
      <c r="H16" s="176"/>
      <c r="I16" s="77"/>
      <c r="J16" s="176"/>
      <c r="L16" s="77"/>
    </row>
    <row r="17" spans="1:13">
      <c r="A17" s="13" t="s">
        <v>12</v>
      </c>
      <c r="B17" s="12"/>
      <c r="C17" s="12"/>
      <c r="D17" s="11"/>
      <c r="E17" s="11"/>
      <c r="F17" s="11"/>
      <c r="I17" s="77"/>
      <c r="L17" s="176"/>
      <c r="M17" s="77"/>
    </row>
    <row r="18" spans="1:13">
      <c r="A18" s="2" t="s">
        <v>10</v>
      </c>
      <c r="B18" s="12">
        <f>B16</f>
        <v>120884</v>
      </c>
      <c r="C18" s="12">
        <f>C16</f>
        <v>33045</v>
      </c>
      <c r="D18" s="12">
        <f>D16</f>
        <v>22460</v>
      </c>
      <c r="E18" s="12">
        <f>E16</f>
        <v>33817</v>
      </c>
      <c r="F18" s="12">
        <f>SUM(F16:F17)</f>
        <v>31562</v>
      </c>
      <c r="I18" s="77"/>
    </row>
    <row r="19" spans="1:13">
      <c r="A19" s="53" t="s">
        <v>9</v>
      </c>
      <c r="B19" s="54" t="s">
        <v>2</v>
      </c>
      <c r="C19" s="54" t="s">
        <v>2</v>
      </c>
      <c r="D19" s="54" t="s">
        <v>2</v>
      </c>
      <c r="E19" s="54" t="s">
        <v>2</v>
      </c>
      <c r="F19" s="54" t="s">
        <v>2</v>
      </c>
    </row>
    <row r="20" spans="1:13">
      <c r="A20" s="2" t="s">
        <v>12</v>
      </c>
      <c r="B20" s="10">
        <f>SUM(B18:B19)</f>
        <v>120884</v>
      </c>
      <c r="C20" s="10">
        <f>SUM(C18:C19)</f>
        <v>33045</v>
      </c>
      <c r="D20" s="10">
        <f>SUM(D18:D19)</f>
        <v>22460</v>
      </c>
      <c r="E20" s="10">
        <f>SUM(E18:E19)</f>
        <v>33817</v>
      </c>
      <c r="F20" s="10">
        <f>SUM(F18:F19)</f>
        <v>31562</v>
      </c>
    </row>
    <row r="21" spans="1:13">
      <c r="A21" s="11"/>
      <c r="B21" s="11"/>
      <c r="C21" s="11"/>
      <c r="D21" s="11"/>
      <c r="E21" s="11"/>
      <c r="F21" s="11"/>
    </row>
    <row r="22" spans="1:13">
      <c r="A22" s="1" t="s">
        <v>41</v>
      </c>
      <c r="B22" s="1"/>
      <c r="C22" s="1"/>
      <c r="D22" s="1"/>
      <c r="E22" s="1"/>
      <c r="F22" s="1"/>
    </row>
    <row r="23" spans="1:13">
      <c r="A23" s="65" t="s">
        <v>13</v>
      </c>
      <c r="B23" s="62"/>
      <c r="C23" s="190">
        <v>2023</v>
      </c>
      <c r="D23" s="190"/>
      <c r="E23" s="190"/>
      <c r="F23" s="190"/>
    </row>
    <row r="24" spans="1:13">
      <c r="A24" s="65" t="s">
        <v>4</v>
      </c>
      <c r="B24" s="64" t="s">
        <v>0</v>
      </c>
      <c r="C24" s="63" t="s">
        <v>36</v>
      </c>
      <c r="D24" s="63" t="s">
        <v>37</v>
      </c>
      <c r="E24" s="63" t="s">
        <v>38</v>
      </c>
      <c r="F24" s="63" t="s">
        <v>39</v>
      </c>
    </row>
    <row r="25" spans="1:13">
      <c r="A25" s="13" t="s">
        <v>1</v>
      </c>
      <c r="B25" s="50">
        <f>C25</f>
        <v>860056</v>
      </c>
      <c r="C25" s="50">
        <v>860056</v>
      </c>
      <c r="D25" s="50">
        <v>852043</v>
      </c>
      <c r="E25" s="50">
        <v>840054</v>
      </c>
      <c r="F25" s="12">
        <v>853595</v>
      </c>
    </row>
    <row r="26" spans="1:13">
      <c r="A26" s="53" t="s">
        <v>14</v>
      </c>
      <c r="B26" s="54">
        <f>C26</f>
        <v>1321597</v>
      </c>
      <c r="C26" s="54">
        <v>1321597</v>
      </c>
      <c r="D26" s="54">
        <v>1312789</v>
      </c>
      <c r="E26" s="54">
        <v>1278764</v>
      </c>
      <c r="F26" s="56">
        <v>1296937</v>
      </c>
    </row>
    <row r="27" spans="1:13">
      <c r="A27" s="9" t="s">
        <v>15</v>
      </c>
      <c r="B27" s="180">
        <f>B25/B26</f>
        <v>0.65077024236586489</v>
      </c>
      <c r="C27" s="180">
        <f>C25/C26</f>
        <v>0.65077024236586489</v>
      </c>
      <c r="D27" s="180">
        <f>D25/D26</f>
        <v>0.64903270822653147</v>
      </c>
      <c r="E27" s="179">
        <v>0.65700000000000003</v>
      </c>
      <c r="F27" s="180">
        <f>F25/F26</f>
        <v>0.65816227002545225</v>
      </c>
    </row>
    <row r="28" spans="1:13">
      <c r="A28" s="5"/>
      <c r="B28" s="4"/>
      <c r="C28" s="4"/>
      <c r="D28" s="4"/>
      <c r="E28" s="4"/>
      <c r="F28" s="4"/>
    </row>
    <row r="29" spans="1:13">
      <c r="A29" s="65" t="s">
        <v>3</v>
      </c>
      <c r="B29" s="62"/>
      <c r="C29" s="190">
        <v>2023</v>
      </c>
      <c r="D29" s="190"/>
      <c r="E29" s="190"/>
      <c r="F29" s="190"/>
    </row>
    <row r="30" spans="1:13">
      <c r="A30" s="65" t="s">
        <v>4</v>
      </c>
      <c r="B30" s="64" t="s">
        <v>0</v>
      </c>
      <c r="C30" s="63" t="s">
        <v>36</v>
      </c>
      <c r="D30" s="63" t="s">
        <v>37</v>
      </c>
      <c r="E30" s="63" t="s">
        <v>42</v>
      </c>
      <c r="F30" s="63" t="s">
        <v>39</v>
      </c>
      <c r="I30" s="178"/>
      <c r="J30" s="178"/>
      <c r="K30" s="178"/>
    </row>
    <row r="31" spans="1:13">
      <c r="A31" s="8" t="s">
        <v>16</v>
      </c>
      <c r="B31" s="50" t="s">
        <v>2</v>
      </c>
      <c r="C31" s="50" t="s">
        <v>2</v>
      </c>
      <c r="D31" s="50" t="s">
        <v>2</v>
      </c>
      <c r="E31" s="50" t="s">
        <v>2</v>
      </c>
      <c r="F31" s="50" t="s">
        <v>2</v>
      </c>
    </row>
    <row r="32" spans="1:13">
      <c r="A32" s="8" t="s">
        <v>17</v>
      </c>
      <c r="B32" s="50">
        <f>C32</f>
        <v>115000</v>
      </c>
      <c r="C32" s="50">
        <v>115000</v>
      </c>
      <c r="D32" s="50">
        <v>115000</v>
      </c>
      <c r="E32" s="50">
        <v>115000</v>
      </c>
      <c r="F32" s="50">
        <v>115000</v>
      </c>
      <c r="I32" s="77"/>
      <c r="J32" s="77"/>
      <c r="K32" s="77"/>
    </row>
    <row r="33" spans="1:11">
      <c r="A33" s="8" t="s">
        <v>18</v>
      </c>
      <c r="B33" s="50">
        <f>C33</f>
        <v>88697</v>
      </c>
      <c r="C33" s="50">
        <f>65759+22938</f>
        <v>88697</v>
      </c>
      <c r="D33" s="50">
        <f>24433+68014</f>
        <v>92447</v>
      </c>
      <c r="E33" s="50">
        <v>96999</v>
      </c>
      <c r="F33" s="12">
        <v>101760</v>
      </c>
    </row>
    <row r="34" spans="1:11">
      <c r="A34" s="8" t="s">
        <v>19</v>
      </c>
      <c r="B34" s="50" t="s">
        <v>2</v>
      </c>
      <c r="C34" s="50" t="s">
        <v>2</v>
      </c>
      <c r="D34" s="50" t="s">
        <v>2</v>
      </c>
      <c r="E34" s="50" t="s">
        <v>2</v>
      </c>
      <c r="F34" s="50" t="s">
        <v>2</v>
      </c>
    </row>
    <row r="35" spans="1:11">
      <c r="A35" s="49" t="s">
        <v>20</v>
      </c>
      <c r="B35" s="174">
        <f>C35</f>
        <v>-227239</v>
      </c>
      <c r="C35" s="175">
        <v>-227239</v>
      </c>
      <c r="D35" s="54">
        <v>-221955</v>
      </c>
      <c r="E35" s="54">
        <v>-166673</v>
      </c>
      <c r="F35" s="56">
        <v>-153079</v>
      </c>
      <c r="I35" s="77"/>
      <c r="J35" s="77"/>
      <c r="K35" s="77"/>
    </row>
    <row r="36" spans="1:11">
      <c r="A36" s="2" t="s">
        <v>21</v>
      </c>
      <c r="B36" s="10">
        <f>SUM(B31:B35)</f>
        <v>-23542</v>
      </c>
      <c r="C36" s="10">
        <f>SUM(C31:C35)</f>
        <v>-23542</v>
      </c>
      <c r="D36" s="10">
        <f>SUM(D31:D35)</f>
        <v>-14508</v>
      </c>
      <c r="E36" s="10">
        <f>SUM(E31:E35)+1</f>
        <v>45327</v>
      </c>
      <c r="F36" s="10">
        <f>SUM(F31:F35)</f>
        <v>63681</v>
      </c>
      <c r="I36" s="176"/>
      <c r="J36" s="176"/>
      <c r="K36" s="176"/>
    </row>
    <row r="37" spans="1:11">
      <c r="A37" s="13" t="s">
        <v>22</v>
      </c>
      <c r="B37" s="12"/>
      <c r="C37" s="11"/>
      <c r="D37" s="11"/>
      <c r="E37" s="52"/>
      <c r="F37" s="11"/>
    </row>
    <row r="38" spans="1:11">
      <c r="A38" s="2" t="s">
        <v>21</v>
      </c>
      <c r="B38" s="12">
        <f>C38</f>
        <v>-23542</v>
      </c>
      <c r="C38" s="12">
        <f>C36</f>
        <v>-23542</v>
      </c>
      <c r="D38" s="12">
        <f>D36</f>
        <v>-14508</v>
      </c>
      <c r="E38" s="12">
        <v>45327</v>
      </c>
      <c r="F38" s="12">
        <v>63681</v>
      </c>
    </row>
    <row r="39" spans="1:11">
      <c r="A39" s="13" t="s">
        <v>23</v>
      </c>
      <c r="B39" s="12">
        <f>C39</f>
        <v>157819</v>
      </c>
      <c r="C39" s="12">
        <v>157819</v>
      </c>
      <c r="D39" s="12">
        <v>153493</v>
      </c>
      <c r="E39" s="12">
        <v>160851</v>
      </c>
      <c r="F39" s="12">
        <v>159802</v>
      </c>
    </row>
    <row r="40" spans="1:11">
      <c r="A40" s="2" t="s">
        <v>43</v>
      </c>
      <c r="B40" s="11">
        <f>B38/B39</f>
        <v>-0.14917088563480949</v>
      </c>
      <c r="C40" s="11">
        <f>C38/C39</f>
        <v>-0.14917088563480949</v>
      </c>
      <c r="D40" s="11">
        <f>D38/D39</f>
        <v>-9.4518968291713634E-2</v>
      </c>
      <c r="E40" s="11">
        <v>0.3</v>
      </c>
      <c r="F40" s="11">
        <v>0.4</v>
      </c>
    </row>
    <row r="41" spans="1:11">
      <c r="A41" s="5"/>
      <c r="B41" s="1"/>
      <c r="C41" s="1"/>
      <c r="D41" s="1"/>
      <c r="E41" s="1"/>
      <c r="F41" s="1"/>
    </row>
    <row r="42" spans="1:11">
      <c r="A42" s="65" t="s">
        <v>24</v>
      </c>
      <c r="B42" s="62"/>
      <c r="C42" s="190">
        <v>2023</v>
      </c>
      <c r="D42" s="190"/>
      <c r="E42" s="190"/>
      <c r="F42" s="190"/>
    </row>
    <row r="43" spans="1:11">
      <c r="A43" s="65" t="s">
        <v>4</v>
      </c>
      <c r="B43" s="64" t="s">
        <v>0</v>
      </c>
      <c r="C43" s="63" t="s">
        <v>36</v>
      </c>
      <c r="D43" s="63" t="s">
        <v>37</v>
      </c>
      <c r="E43" s="63" t="s">
        <v>42</v>
      </c>
      <c r="F43" s="63" t="s">
        <v>39</v>
      </c>
    </row>
    <row r="44" spans="1:11">
      <c r="A44" s="2" t="s">
        <v>5</v>
      </c>
      <c r="B44" s="1"/>
      <c r="C44" s="1"/>
      <c r="D44" s="1"/>
      <c r="E44" s="1"/>
      <c r="F44" s="1"/>
    </row>
    <row r="45" spans="1:11">
      <c r="A45" s="53" t="s">
        <v>25</v>
      </c>
      <c r="B45" s="54" t="s">
        <v>2</v>
      </c>
      <c r="C45" s="54" t="s">
        <v>2</v>
      </c>
      <c r="D45" s="54" t="s">
        <v>2</v>
      </c>
      <c r="E45" s="54" t="s">
        <v>2</v>
      </c>
      <c r="F45" s="54" t="s">
        <v>2</v>
      </c>
    </row>
    <row r="46" spans="1:11">
      <c r="A46" s="2" t="s">
        <v>26</v>
      </c>
      <c r="B46" s="50" t="s">
        <v>2</v>
      </c>
      <c r="C46" s="50" t="s">
        <v>2</v>
      </c>
      <c r="D46" s="50" t="s">
        <v>2</v>
      </c>
      <c r="E46" s="50" t="s">
        <v>2</v>
      </c>
      <c r="F46" s="50" t="s">
        <v>2</v>
      </c>
    </row>
    <row r="47" spans="1:11">
      <c r="A47" s="2"/>
      <c r="B47" s="3"/>
      <c r="C47" s="3"/>
      <c r="D47" s="3"/>
      <c r="E47" s="3"/>
      <c r="F47" s="3"/>
    </row>
    <row r="48" spans="1:11">
      <c r="A48" s="6" t="s">
        <v>27</v>
      </c>
      <c r="B48" s="62"/>
      <c r="C48" s="190">
        <v>2023</v>
      </c>
      <c r="D48" s="190"/>
      <c r="E48" s="190"/>
      <c r="F48" s="190"/>
    </row>
    <row r="49" spans="1:10">
      <c r="A49" s="7" t="s">
        <v>4</v>
      </c>
      <c r="B49" s="64" t="s">
        <v>0</v>
      </c>
      <c r="C49" s="63" t="s">
        <v>36</v>
      </c>
      <c r="D49" s="63" t="s">
        <v>37</v>
      </c>
      <c r="E49" s="63" t="s">
        <v>42</v>
      </c>
      <c r="F49" s="63" t="s">
        <v>39</v>
      </c>
    </row>
    <row r="50" spans="1:10">
      <c r="A50" s="2" t="s">
        <v>28</v>
      </c>
      <c r="B50" s="46">
        <f>C50+D50+E50+F50</f>
        <v>1183714</v>
      </c>
      <c r="C50" s="46">
        <v>297121</v>
      </c>
      <c r="D50" s="46">
        <v>279863</v>
      </c>
      <c r="E50" s="46">
        <v>293607</v>
      </c>
      <c r="F50" s="10">
        <v>313123</v>
      </c>
      <c r="H50" s="77"/>
      <c r="I50" s="77"/>
      <c r="J50" s="77"/>
    </row>
    <row r="51" spans="1:10">
      <c r="A51" s="13" t="s">
        <v>29</v>
      </c>
      <c r="B51" s="50"/>
      <c r="C51" s="50"/>
      <c r="D51" s="50"/>
      <c r="E51" s="50"/>
      <c r="F51" s="50"/>
    </row>
    <row r="52" spans="1:10">
      <c r="A52" s="13" t="s">
        <v>30</v>
      </c>
      <c r="B52" s="50">
        <f>C52+D52+E52+F52</f>
        <v>-17648</v>
      </c>
      <c r="C52" s="50">
        <v>378</v>
      </c>
      <c r="D52" s="50">
        <v>-7983</v>
      </c>
      <c r="E52" s="50">
        <f>-4793+378-136</f>
        <v>-4551</v>
      </c>
      <c r="F52" s="12">
        <v>-5492</v>
      </c>
      <c r="G52" s="50"/>
      <c r="H52" s="50"/>
      <c r="I52" s="77"/>
    </row>
    <row r="53" spans="1:10">
      <c r="A53" s="53" t="s">
        <v>31</v>
      </c>
      <c r="B53" s="54">
        <f>E53+D53+C53</f>
        <v>-27116</v>
      </c>
      <c r="C53" s="54">
        <v>-17086</v>
      </c>
      <c r="D53" s="54">
        <v>-5198</v>
      </c>
      <c r="E53" s="54">
        <v>-4832</v>
      </c>
      <c r="F53" s="54" t="s">
        <v>2</v>
      </c>
    </row>
    <row r="54" spans="1:10">
      <c r="A54" s="2" t="s">
        <v>33</v>
      </c>
      <c r="B54" s="10">
        <f>SUM(B52:B53)</f>
        <v>-44764</v>
      </c>
      <c r="C54" s="10">
        <f>SUM(C52:C53)</f>
        <v>-16708</v>
      </c>
      <c r="D54" s="10">
        <f>SUM(D52:D53)</f>
        <v>-13181</v>
      </c>
      <c r="E54" s="10">
        <f>SUM(E52:E53)</f>
        <v>-9383</v>
      </c>
      <c r="F54" s="10">
        <f>SUM(F52:F53)</f>
        <v>-5492</v>
      </c>
    </row>
    <row r="55" spans="1:10">
      <c r="A55" s="2" t="s">
        <v>34</v>
      </c>
      <c r="B55" s="46">
        <f>F55+E55+D55+C55</f>
        <v>1138950</v>
      </c>
      <c r="C55" s="46">
        <f>C50+C52+C53</f>
        <v>280413</v>
      </c>
      <c r="D55" s="46">
        <f>D50+D52+D53</f>
        <v>266682</v>
      </c>
      <c r="E55" s="46">
        <f>E50+E52+E53</f>
        <v>284224</v>
      </c>
      <c r="F55" s="10">
        <f>F50+F54</f>
        <v>307631</v>
      </c>
    </row>
    <row r="56" spans="1:10">
      <c r="A56" s="2" t="s">
        <v>63</v>
      </c>
      <c r="B56" s="11">
        <f>(1138950-1253126)/1253126*100</f>
        <v>-9.1112944747774769</v>
      </c>
      <c r="C56" s="11">
        <f>(C55-320778)/320778*100</f>
        <v>-12.583468941136861</v>
      </c>
      <c r="D56" s="11">
        <v>-13.5</v>
      </c>
      <c r="E56" s="11">
        <v>-12.6</v>
      </c>
      <c r="F56" s="11">
        <v>2.9</v>
      </c>
    </row>
    <row r="58" spans="1:10">
      <c r="A58" s="6" t="s">
        <v>65</v>
      </c>
      <c r="B58" s="62"/>
      <c r="C58" s="190">
        <v>2023</v>
      </c>
      <c r="D58" s="190"/>
      <c r="E58" s="190"/>
      <c r="F58" s="190"/>
    </row>
    <row r="59" spans="1:10">
      <c r="A59" s="7" t="s">
        <v>4</v>
      </c>
      <c r="B59" s="64" t="s">
        <v>0</v>
      </c>
      <c r="C59" s="63" t="s">
        <v>36</v>
      </c>
      <c r="D59" s="63" t="s">
        <v>37</v>
      </c>
      <c r="E59" s="63" t="s">
        <v>42</v>
      </c>
      <c r="F59" s="63" t="s">
        <v>39</v>
      </c>
    </row>
    <row r="60" spans="1:10">
      <c r="A60" s="2" t="s">
        <v>68</v>
      </c>
    </row>
    <row r="61" spans="1:10">
      <c r="A61" s="2" t="s">
        <v>64</v>
      </c>
      <c r="B61" s="10">
        <f>SUM(C61:F61)</f>
        <v>584673</v>
      </c>
      <c r="C61" s="10">
        <v>137893</v>
      </c>
      <c r="D61" s="10">
        <v>138134</v>
      </c>
      <c r="E61" s="10">
        <v>143931</v>
      </c>
      <c r="F61" s="10">
        <v>164715</v>
      </c>
    </row>
    <row r="62" spans="1:10">
      <c r="A62" s="13" t="s">
        <v>29</v>
      </c>
    </row>
    <row r="63" spans="1:10">
      <c r="A63" s="13" t="s">
        <v>30</v>
      </c>
      <c r="B63" s="12">
        <f>SUM(C63:F63)</f>
        <v>-8718</v>
      </c>
      <c r="C63" s="12">
        <v>175</v>
      </c>
      <c r="D63" s="12">
        <v>-3941</v>
      </c>
      <c r="E63" s="12">
        <f>-2366+285</f>
        <v>-2081</v>
      </c>
      <c r="F63" s="12">
        <v>-2871</v>
      </c>
      <c r="G63" s="12"/>
      <c r="H63" s="12"/>
    </row>
    <row r="64" spans="1:10">
      <c r="A64" s="53" t="s">
        <v>31</v>
      </c>
      <c r="B64" s="181" t="s">
        <v>2</v>
      </c>
      <c r="C64" s="181" t="s">
        <v>2</v>
      </c>
      <c r="D64" s="181" t="s">
        <v>2</v>
      </c>
      <c r="E64" s="181" t="s">
        <v>2</v>
      </c>
      <c r="F64" s="181" t="s">
        <v>2</v>
      </c>
    </row>
    <row r="65" spans="1:8">
      <c r="A65" s="2" t="s">
        <v>33</v>
      </c>
      <c r="B65" s="10">
        <f>SUM(B63:B64)</f>
        <v>-8718</v>
      </c>
      <c r="C65" s="10">
        <f>SUM(C63:C64)</f>
        <v>175</v>
      </c>
      <c r="D65" s="10">
        <f>SUM(D63:D64)</f>
        <v>-3941</v>
      </c>
      <c r="E65" s="10">
        <f>SUM(E63:E64)</f>
        <v>-2081</v>
      </c>
      <c r="F65" s="10">
        <f>SUM(F63:F64)</f>
        <v>-2871</v>
      </c>
    </row>
    <row r="66" spans="1:8">
      <c r="A66" s="2" t="s">
        <v>34</v>
      </c>
      <c r="B66" s="10">
        <f>SUM(C66:F66)</f>
        <v>575955</v>
      </c>
      <c r="C66" s="10">
        <f>C61+C65</f>
        <v>138068</v>
      </c>
      <c r="D66" s="10">
        <f>D61+D65</f>
        <v>134193</v>
      </c>
      <c r="E66" s="10">
        <f>E61+E65</f>
        <v>141850</v>
      </c>
      <c r="F66" s="10">
        <f>F61+F65</f>
        <v>161844</v>
      </c>
    </row>
    <row r="67" spans="1:8">
      <c r="A67" s="2" t="s">
        <v>63</v>
      </c>
      <c r="B67" s="11">
        <f>(575955-643941)/643941*100+0.1</f>
        <v>-10.45779954995877</v>
      </c>
      <c r="C67" s="11">
        <f>(138068-161514)/161514*100</f>
        <v>-14.516388672189407</v>
      </c>
      <c r="D67" s="11">
        <f>(134193-157886)/157886*100</f>
        <v>-15.006397020635143</v>
      </c>
      <c r="E67" s="11">
        <f>(141850-169702)/169702*100+0.4</f>
        <v>-16.012299206844943</v>
      </c>
      <c r="F67" s="11">
        <f>(161844-154813)/154813*100</f>
        <v>4.5416082628719812</v>
      </c>
    </row>
    <row r="69" spans="1:8">
      <c r="A69" s="2" t="s">
        <v>69</v>
      </c>
    </row>
    <row r="70" spans="1:8">
      <c r="A70" s="2" t="s">
        <v>64</v>
      </c>
      <c r="B70" s="46">
        <f>C70+D70+E70+F70</f>
        <v>571327</v>
      </c>
      <c r="C70" s="10">
        <v>152024</v>
      </c>
      <c r="D70" s="10">
        <v>135456</v>
      </c>
      <c r="E70" s="10">
        <v>142536</v>
      </c>
      <c r="F70" s="10">
        <v>141311</v>
      </c>
    </row>
    <row r="71" spans="1:8">
      <c r="A71" s="13" t="s">
        <v>29</v>
      </c>
    </row>
    <row r="72" spans="1:8">
      <c r="A72" s="13" t="s">
        <v>30</v>
      </c>
      <c r="B72" s="50">
        <f>C72+D72+E72+F72</f>
        <v>-8930</v>
      </c>
      <c r="C72" s="12">
        <v>203</v>
      </c>
      <c r="D72" s="12">
        <v>-4042</v>
      </c>
      <c r="E72" s="12">
        <f>-2428+243-285</f>
        <v>-2470</v>
      </c>
      <c r="F72" s="12">
        <v>-2621</v>
      </c>
      <c r="G72" s="12"/>
      <c r="H72" s="12"/>
    </row>
    <row r="73" spans="1:8">
      <c r="A73" s="53" t="s">
        <v>31</v>
      </c>
      <c r="B73" s="182">
        <f>SUM(C73:F73)</f>
        <v>-27116</v>
      </c>
      <c r="C73" s="182">
        <v>-17086</v>
      </c>
      <c r="D73" s="182">
        <v>-5198</v>
      </c>
      <c r="E73" s="182">
        <v>-4832</v>
      </c>
      <c r="F73" s="181" t="s">
        <v>2</v>
      </c>
    </row>
    <row r="74" spans="1:8">
      <c r="A74" s="2" t="s">
        <v>33</v>
      </c>
      <c r="B74" s="10">
        <f>SUM(B72:B73)</f>
        <v>-36046</v>
      </c>
      <c r="C74" s="10">
        <f>SUM(C72:C73)</f>
        <v>-16883</v>
      </c>
      <c r="D74" s="10">
        <f>SUM(D72:D73)</f>
        <v>-9240</v>
      </c>
      <c r="E74" s="10">
        <f>SUM(E72:E73)</f>
        <v>-7302</v>
      </c>
      <c r="F74" s="10">
        <f>SUM(F72:F73)</f>
        <v>-2621</v>
      </c>
    </row>
    <row r="75" spans="1:8">
      <c r="A75" s="2" t="s">
        <v>34</v>
      </c>
      <c r="B75" s="46">
        <f>C75+D75+E75+F75</f>
        <v>535281</v>
      </c>
      <c r="C75" s="10">
        <f>C70+C74</f>
        <v>135141</v>
      </c>
      <c r="D75" s="10">
        <f>D70+D74</f>
        <v>126216</v>
      </c>
      <c r="E75" s="10">
        <f>E70+E74</f>
        <v>135234</v>
      </c>
      <c r="F75" s="10">
        <f>F70+F74</f>
        <v>138690</v>
      </c>
    </row>
    <row r="76" spans="1:8">
      <c r="A76" s="2" t="s">
        <v>63</v>
      </c>
      <c r="B76" s="11">
        <f>(535281-575308)/575308*100-0.6</f>
        <v>-7.557490596341438</v>
      </c>
      <c r="C76" s="11">
        <f>(135141-149245)/149245*100-1.2</f>
        <v>-10.650232838621058</v>
      </c>
      <c r="D76" s="11">
        <f>(126216-143062)/143062*100-0.1</f>
        <v>-11.875314199438005</v>
      </c>
      <c r="E76" s="11">
        <f>(135234-146133)/146133*100-0.5</f>
        <v>-7.9582743117570978</v>
      </c>
      <c r="F76" s="11">
        <f>(138691-136868)/136868*100+0.1</f>
        <v>1.4319402636116552</v>
      </c>
    </row>
    <row r="78" spans="1:8">
      <c r="B78" s="12"/>
      <c r="C78" s="12"/>
      <c r="D78" s="12"/>
      <c r="E78" s="12"/>
      <c r="F78" s="12"/>
    </row>
    <row r="79" spans="1:8">
      <c r="E79" s="12"/>
    </row>
    <row r="80" spans="1:8">
      <c r="E80" s="77"/>
    </row>
  </sheetData>
  <mergeCells count="6">
    <mergeCell ref="C58:F58"/>
    <mergeCell ref="C4:F4"/>
    <mergeCell ref="C23:F23"/>
    <mergeCell ref="C29:F29"/>
    <mergeCell ref="C42:F42"/>
    <mergeCell ref="C48:F4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ignoredErrors>
    <ignoredError sqref="E36" formula="1"/>
    <ignoredError sqref="B27:C27" evalError="1"/>
    <ignoredError sqref="B7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303D9-7CE7-48B0-ABBC-AE7A86392279}">
  <sheetPr>
    <pageSetUpPr fitToPage="1"/>
  </sheetPr>
  <dimension ref="A2:K81"/>
  <sheetViews>
    <sheetView topLeftCell="A22" zoomScale="90" zoomScaleNormal="90" workbookViewId="0">
      <selection activeCell="B61" sqref="B61"/>
    </sheetView>
  </sheetViews>
  <sheetFormatPr defaultRowHeight="12.75"/>
  <cols>
    <col min="1" max="1" width="49.7109375" customWidth="1"/>
  </cols>
  <sheetData>
    <row r="2" spans="1:8">
      <c r="A2" s="184" t="s">
        <v>70</v>
      </c>
    </row>
    <row r="3" spans="1:8">
      <c r="A3" s="1" t="s">
        <v>40</v>
      </c>
    </row>
    <row r="4" spans="1:8">
      <c r="A4" s="65" t="s">
        <v>5</v>
      </c>
      <c r="B4" s="62"/>
      <c r="C4" s="190">
        <v>2022</v>
      </c>
      <c r="D4" s="190"/>
      <c r="E4" s="190"/>
      <c r="F4" s="190"/>
    </row>
    <row r="5" spans="1:8">
      <c r="A5" s="65" t="s">
        <v>4</v>
      </c>
      <c r="B5" s="64" t="s">
        <v>0</v>
      </c>
      <c r="C5" s="63" t="s">
        <v>36</v>
      </c>
      <c r="D5" s="63" t="s">
        <v>37</v>
      </c>
      <c r="E5" s="63" t="s">
        <v>38</v>
      </c>
      <c r="F5" s="63" t="s">
        <v>39</v>
      </c>
    </row>
    <row r="6" spans="1:8">
      <c r="A6" s="8" t="s">
        <v>6</v>
      </c>
      <c r="B6" s="12">
        <v>122215</v>
      </c>
      <c r="C6" s="12">
        <v>29131</v>
      </c>
      <c r="D6" s="12">
        <v>30718</v>
      </c>
      <c r="E6" s="12">
        <v>32136</v>
      </c>
      <c r="F6" s="12">
        <v>30231</v>
      </c>
    </row>
    <row r="7" spans="1:8">
      <c r="A7" s="49" t="s">
        <v>7</v>
      </c>
      <c r="B7" s="56">
        <v>36710</v>
      </c>
      <c r="C7" s="56">
        <v>8913</v>
      </c>
      <c r="D7" s="56">
        <v>8604</v>
      </c>
      <c r="E7" s="56">
        <v>9689</v>
      </c>
      <c r="F7" s="56">
        <v>9504</v>
      </c>
    </row>
    <row r="8" spans="1:8">
      <c r="A8" s="66" t="s">
        <v>5</v>
      </c>
      <c r="B8" s="10">
        <f>SUM(B6:B7)</f>
        <v>158925</v>
      </c>
      <c r="C8" s="10">
        <f>SUM(C6:C7)</f>
        <v>38044</v>
      </c>
      <c r="D8" s="10">
        <f>SUM(D6:D7)</f>
        <v>39322</v>
      </c>
      <c r="E8" s="10">
        <f>SUM(E6:E7)</f>
        <v>41825</v>
      </c>
      <c r="F8" s="10">
        <f>SUM(F6:F7)</f>
        <v>39735</v>
      </c>
    </row>
    <row r="9" spans="1:8">
      <c r="A9" s="57" t="s">
        <v>8</v>
      </c>
      <c r="B9" s="12"/>
      <c r="C9" s="12"/>
      <c r="D9" s="12"/>
      <c r="E9" s="12"/>
      <c r="F9" s="12"/>
    </row>
    <row r="10" spans="1:8">
      <c r="A10" s="8" t="s">
        <v>5</v>
      </c>
      <c r="B10" s="12">
        <f>B8</f>
        <v>158925</v>
      </c>
      <c r="C10" s="12">
        <f>C8</f>
        <v>38044</v>
      </c>
      <c r="D10" s="12">
        <f>D8</f>
        <v>39322</v>
      </c>
      <c r="E10" s="12">
        <f>E8</f>
        <v>41825</v>
      </c>
      <c r="F10" s="12">
        <f>F8</f>
        <v>39735</v>
      </c>
    </row>
    <row r="11" spans="1:8">
      <c r="A11" s="49" t="s">
        <v>9</v>
      </c>
      <c r="B11" s="54" t="s">
        <v>2</v>
      </c>
      <c r="C11" s="54" t="s">
        <v>2</v>
      </c>
      <c r="D11" s="54" t="s">
        <v>2</v>
      </c>
      <c r="E11" s="54" t="s">
        <v>2</v>
      </c>
      <c r="F11" s="54" t="s">
        <v>2</v>
      </c>
    </row>
    <row r="12" spans="1:8">
      <c r="A12" s="57" t="s">
        <v>8</v>
      </c>
      <c r="B12" s="10">
        <f>SUM(B10:B11)</f>
        <v>158925</v>
      </c>
      <c r="C12" s="10">
        <f>SUM(C10:C11)</f>
        <v>38044</v>
      </c>
      <c r="D12" s="10">
        <f>SUM(D10:D11)</f>
        <v>39322</v>
      </c>
      <c r="E12" s="10">
        <f>SUM(E10:E11)</f>
        <v>41825</v>
      </c>
      <c r="F12" s="10">
        <f>SUM(F10:F11)</f>
        <v>39735</v>
      </c>
    </row>
    <row r="13" spans="1:8">
      <c r="A13" s="57" t="s">
        <v>10</v>
      </c>
      <c r="B13" s="12"/>
      <c r="C13" s="12"/>
      <c r="D13" s="12"/>
      <c r="E13" s="12"/>
      <c r="F13" s="12"/>
    </row>
    <row r="14" spans="1:8">
      <c r="A14" s="8" t="s">
        <v>6</v>
      </c>
      <c r="B14" s="12">
        <v>122215</v>
      </c>
      <c r="C14" s="12">
        <v>29131</v>
      </c>
      <c r="D14" s="12">
        <v>30718</v>
      </c>
      <c r="E14" s="12">
        <v>32136</v>
      </c>
      <c r="F14" s="12">
        <v>30231</v>
      </c>
    </row>
    <row r="15" spans="1:8">
      <c r="A15" s="49" t="s">
        <v>11</v>
      </c>
      <c r="B15" s="56">
        <v>3387</v>
      </c>
      <c r="C15" s="56">
        <v>848</v>
      </c>
      <c r="D15" s="56">
        <v>854</v>
      </c>
      <c r="E15" s="56">
        <v>982</v>
      </c>
      <c r="F15" s="54">
        <v>709</v>
      </c>
      <c r="H15" s="77"/>
    </row>
    <row r="16" spans="1:8">
      <c r="A16" s="57" t="s">
        <v>10</v>
      </c>
      <c r="B16" s="12">
        <f>SUM(B14:B15)</f>
        <v>125602</v>
      </c>
      <c r="C16" s="12">
        <f>SUM(C14:C15)</f>
        <v>29979</v>
      </c>
      <c r="D16" s="12">
        <f>D14+D15</f>
        <v>31572</v>
      </c>
      <c r="E16" s="12">
        <f>E14+E15</f>
        <v>33118</v>
      </c>
      <c r="F16" s="12">
        <f>SUM(F14:F15)</f>
        <v>30940</v>
      </c>
    </row>
    <row r="17" spans="1:11">
      <c r="A17" s="13" t="s">
        <v>12</v>
      </c>
      <c r="B17" s="12"/>
      <c r="C17" s="12"/>
      <c r="D17" s="11"/>
      <c r="E17" s="11"/>
      <c r="F17" s="11"/>
    </row>
    <row r="18" spans="1:11">
      <c r="A18" s="2" t="s">
        <v>10</v>
      </c>
      <c r="B18" s="12">
        <f>B16</f>
        <v>125602</v>
      </c>
      <c r="C18" s="12">
        <f>C16</f>
        <v>29979</v>
      </c>
      <c r="D18" s="12">
        <f>D16</f>
        <v>31572</v>
      </c>
      <c r="E18" s="12">
        <f>E16</f>
        <v>33118</v>
      </c>
      <c r="F18" s="12">
        <f>SUM(F16:F17)</f>
        <v>30940</v>
      </c>
    </row>
    <row r="19" spans="1:11">
      <c r="A19" s="53" t="s">
        <v>9</v>
      </c>
      <c r="B19" s="54" t="s">
        <v>2</v>
      </c>
      <c r="C19" s="54" t="s">
        <v>2</v>
      </c>
      <c r="D19" s="54" t="s">
        <v>2</v>
      </c>
      <c r="E19" s="54" t="s">
        <v>2</v>
      </c>
      <c r="F19" s="54" t="s">
        <v>2</v>
      </c>
    </row>
    <row r="20" spans="1:11">
      <c r="A20" s="2" t="s">
        <v>12</v>
      </c>
      <c r="B20" s="12">
        <f>SUM(B18:B19)</f>
        <v>125602</v>
      </c>
      <c r="C20" s="12">
        <f>SUM(C18:C19)</f>
        <v>29979</v>
      </c>
      <c r="D20" s="12">
        <f>SUM(D18:D19)</f>
        <v>31572</v>
      </c>
      <c r="E20" s="12">
        <f>SUM(E18:E19)</f>
        <v>33118</v>
      </c>
      <c r="F20" s="12">
        <f>SUM(F18:F19)</f>
        <v>30940</v>
      </c>
    </row>
    <row r="21" spans="1:11">
      <c r="A21" s="11"/>
      <c r="B21" s="11"/>
      <c r="C21" s="11"/>
      <c r="D21" s="11"/>
      <c r="E21" s="11"/>
      <c r="F21" s="11"/>
    </row>
    <row r="22" spans="1:11">
      <c r="A22" s="1" t="s">
        <v>41</v>
      </c>
      <c r="B22" s="1"/>
      <c r="C22" s="1"/>
      <c r="D22" s="1"/>
      <c r="E22" s="1"/>
      <c r="F22" s="1"/>
    </row>
    <row r="23" spans="1:11">
      <c r="A23" s="65" t="s">
        <v>13</v>
      </c>
      <c r="B23" s="62"/>
      <c r="C23" s="190">
        <v>2022</v>
      </c>
      <c r="D23" s="190"/>
      <c r="E23" s="190"/>
      <c r="F23" s="190"/>
    </row>
    <row r="24" spans="1:11">
      <c r="A24" s="65" t="s">
        <v>4</v>
      </c>
      <c r="B24" s="64" t="s">
        <v>0</v>
      </c>
      <c r="C24" s="63" t="s">
        <v>36</v>
      </c>
      <c r="D24" s="63" t="s">
        <v>37</v>
      </c>
      <c r="E24" s="63" t="s">
        <v>38</v>
      </c>
      <c r="F24" s="63" t="s">
        <v>39</v>
      </c>
    </row>
    <row r="25" spans="1:11">
      <c r="A25" s="13" t="s">
        <v>1</v>
      </c>
      <c r="B25" s="12">
        <v>843676</v>
      </c>
      <c r="C25" s="12">
        <v>843676</v>
      </c>
      <c r="D25" s="12">
        <v>813611</v>
      </c>
      <c r="E25" s="12">
        <v>771902</v>
      </c>
      <c r="F25" s="12">
        <v>759699</v>
      </c>
    </row>
    <row r="26" spans="1:11">
      <c r="A26" s="53" t="s">
        <v>14</v>
      </c>
      <c r="B26" s="56">
        <v>1287719</v>
      </c>
      <c r="C26" s="56">
        <v>1287719</v>
      </c>
      <c r="D26" s="56">
        <v>1255717</v>
      </c>
      <c r="E26" s="56">
        <v>1250703</v>
      </c>
      <c r="F26" s="56">
        <v>1234835</v>
      </c>
    </row>
    <row r="27" spans="1:11">
      <c r="A27" s="9" t="s">
        <v>15</v>
      </c>
      <c r="B27" s="61">
        <f>B25/B26</f>
        <v>0.65517088743739904</v>
      </c>
      <c r="C27" s="61">
        <f>C25/C26</f>
        <v>0.65517088743739904</v>
      </c>
      <c r="D27" s="61">
        <f>D25/D26</f>
        <v>0.64792544817024855</v>
      </c>
      <c r="E27" s="61">
        <f>E25/E26</f>
        <v>0.61717450106060356</v>
      </c>
      <c r="F27" s="61">
        <f>F25/F26</f>
        <v>0.61522308648523893</v>
      </c>
    </row>
    <row r="28" spans="1:11">
      <c r="A28" s="5"/>
      <c r="B28" s="4"/>
      <c r="C28" s="4"/>
      <c r="D28" s="4"/>
      <c r="E28" s="4"/>
      <c r="F28" s="4"/>
    </row>
    <row r="29" spans="1:11">
      <c r="A29" s="65" t="s">
        <v>3</v>
      </c>
      <c r="B29" s="62"/>
      <c r="C29" s="190">
        <v>2022</v>
      </c>
      <c r="D29" s="190"/>
      <c r="E29" s="190"/>
      <c r="F29" s="190"/>
    </row>
    <row r="30" spans="1:11">
      <c r="A30" s="65" t="s">
        <v>4</v>
      </c>
      <c r="B30" s="64" t="s">
        <v>0</v>
      </c>
      <c r="C30" s="63" t="s">
        <v>36</v>
      </c>
      <c r="D30" s="63" t="s">
        <v>37</v>
      </c>
      <c r="E30" s="63" t="s">
        <v>42</v>
      </c>
      <c r="F30" s="63" t="s">
        <v>39</v>
      </c>
    </row>
    <row r="31" spans="1:11">
      <c r="A31" s="8" t="s">
        <v>16</v>
      </c>
      <c r="B31" s="50" t="s">
        <v>2</v>
      </c>
      <c r="C31" s="50" t="s">
        <v>2</v>
      </c>
      <c r="D31" s="50" t="s">
        <v>2</v>
      </c>
      <c r="E31" s="12">
        <v>149905</v>
      </c>
      <c r="F31" s="12">
        <v>159392</v>
      </c>
      <c r="I31" s="177"/>
      <c r="J31" s="177"/>
      <c r="K31" s="177"/>
    </row>
    <row r="32" spans="1:11">
      <c r="A32" s="8" t="s">
        <v>17</v>
      </c>
      <c r="B32" s="50">
        <v>115000</v>
      </c>
      <c r="C32" s="50">
        <v>115000</v>
      </c>
      <c r="D32" s="12">
        <v>115000</v>
      </c>
      <c r="E32" s="50" t="s">
        <v>2</v>
      </c>
      <c r="F32" s="50" t="s">
        <v>2</v>
      </c>
      <c r="I32" s="77"/>
      <c r="J32" s="77"/>
      <c r="K32" s="77"/>
    </row>
    <row r="33" spans="1:11">
      <c r="A33" s="8" t="s">
        <v>18</v>
      </c>
      <c r="B33" s="12">
        <v>96674</v>
      </c>
      <c r="C33" s="12">
        <f>96674</f>
        <v>96674</v>
      </c>
      <c r="D33" s="12">
        <v>101925</v>
      </c>
      <c r="E33" s="12">
        <v>96541</v>
      </c>
      <c r="F33" s="12">
        <v>100109</v>
      </c>
      <c r="I33" s="77"/>
    </row>
    <row r="34" spans="1:11">
      <c r="A34" s="8" t="s">
        <v>19</v>
      </c>
      <c r="B34" s="50" t="s">
        <v>2</v>
      </c>
      <c r="C34" s="50" t="s">
        <v>2</v>
      </c>
      <c r="D34" s="50" t="s">
        <v>2</v>
      </c>
      <c r="E34" s="50" t="s">
        <v>2</v>
      </c>
      <c r="F34" s="50" t="s">
        <v>2</v>
      </c>
    </row>
    <row r="35" spans="1:11">
      <c r="A35" s="49" t="s">
        <v>20</v>
      </c>
      <c r="B35" s="59">
        <v>-178646</v>
      </c>
      <c r="C35" s="58">
        <v>-178646</v>
      </c>
      <c r="D35" s="56">
        <v>-140553</v>
      </c>
      <c r="E35" s="56">
        <v>-132004</v>
      </c>
      <c r="F35" s="56">
        <v>-127184</v>
      </c>
      <c r="I35" s="77"/>
      <c r="J35" s="77"/>
      <c r="K35" s="77"/>
    </row>
    <row r="36" spans="1:11">
      <c r="A36" s="2" t="s">
        <v>21</v>
      </c>
      <c r="B36" s="10">
        <f>SUM(B32:B35)</f>
        <v>33028</v>
      </c>
      <c r="C36" s="10">
        <f>SUM(C32:C35)</f>
        <v>33028</v>
      </c>
      <c r="D36" s="10">
        <f>SUM(D31:D35)</f>
        <v>76372</v>
      </c>
      <c r="E36" s="10">
        <f>SUM(E31:E35)</f>
        <v>114442</v>
      </c>
      <c r="F36" s="10">
        <f>SUM(F31:F35)</f>
        <v>132317</v>
      </c>
      <c r="I36" s="10"/>
      <c r="J36" s="10"/>
      <c r="K36" s="10"/>
    </row>
    <row r="37" spans="1:11">
      <c r="A37" s="13" t="s">
        <v>22</v>
      </c>
      <c r="B37" s="12"/>
      <c r="C37" s="11"/>
      <c r="D37" s="11"/>
      <c r="E37" s="52"/>
      <c r="F37" s="11"/>
    </row>
    <row r="38" spans="1:11">
      <c r="A38" s="2" t="s">
        <v>21</v>
      </c>
      <c r="B38" s="12">
        <v>33028</v>
      </c>
      <c r="C38" s="12">
        <f>C36</f>
        <v>33028</v>
      </c>
      <c r="D38" s="12">
        <f>D36</f>
        <v>76372</v>
      </c>
      <c r="E38" s="12">
        <f>E36</f>
        <v>114442</v>
      </c>
      <c r="F38" s="12">
        <f>F36</f>
        <v>132317</v>
      </c>
    </row>
    <row r="39" spans="1:11">
      <c r="A39" s="13" t="s">
        <v>23</v>
      </c>
      <c r="B39" s="12">
        <v>158926</v>
      </c>
      <c r="C39" s="12">
        <v>158926</v>
      </c>
      <c r="D39" s="12">
        <v>161698</v>
      </c>
      <c r="E39" s="12">
        <v>154856</v>
      </c>
      <c r="F39" s="12">
        <v>147005</v>
      </c>
    </row>
    <row r="40" spans="1:11">
      <c r="A40" s="13" t="s">
        <v>43</v>
      </c>
      <c r="B40" s="60">
        <v>0.2</v>
      </c>
      <c r="C40" s="60">
        <v>0.2</v>
      </c>
      <c r="D40" s="60">
        <v>0.5</v>
      </c>
      <c r="E40" s="60">
        <v>0.7</v>
      </c>
      <c r="F40" s="60">
        <v>0.9</v>
      </c>
    </row>
    <row r="41" spans="1:11">
      <c r="A41" s="5"/>
      <c r="B41" s="1"/>
      <c r="C41" s="1"/>
      <c r="D41" s="1"/>
      <c r="E41" s="1"/>
      <c r="F41" s="1"/>
    </row>
    <row r="42" spans="1:11">
      <c r="A42" s="65" t="s">
        <v>24</v>
      </c>
      <c r="B42" s="62"/>
      <c r="C42" s="190">
        <v>2022</v>
      </c>
      <c r="D42" s="190"/>
      <c r="E42" s="190"/>
      <c r="F42" s="190"/>
    </row>
    <row r="43" spans="1:11">
      <c r="A43" s="65" t="s">
        <v>4</v>
      </c>
      <c r="B43" s="64" t="s">
        <v>0</v>
      </c>
      <c r="C43" s="63" t="s">
        <v>36</v>
      </c>
      <c r="D43" s="63" t="s">
        <v>37</v>
      </c>
      <c r="E43" s="63" t="s">
        <v>42</v>
      </c>
      <c r="F43" s="63" t="s">
        <v>39</v>
      </c>
    </row>
    <row r="44" spans="1:11">
      <c r="A44" s="2" t="s">
        <v>5</v>
      </c>
      <c r="B44" s="1"/>
      <c r="C44" s="1"/>
      <c r="D44" s="1"/>
      <c r="E44" s="1"/>
      <c r="F44" s="1"/>
    </row>
    <row r="45" spans="1:11">
      <c r="A45" s="53" t="s">
        <v>25</v>
      </c>
      <c r="B45" s="54" t="s">
        <v>2</v>
      </c>
      <c r="C45" s="54" t="s">
        <v>2</v>
      </c>
      <c r="D45" s="54" t="s">
        <v>2</v>
      </c>
      <c r="E45" s="54" t="s">
        <v>2</v>
      </c>
      <c r="F45" s="54" t="s">
        <v>2</v>
      </c>
    </row>
    <row r="46" spans="1:11">
      <c r="A46" s="2" t="s">
        <v>26</v>
      </c>
      <c r="B46" s="50" t="s">
        <v>2</v>
      </c>
      <c r="C46" s="50" t="s">
        <v>2</v>
      </c>
      <c r="D46" s="50" t="s">
        <v>2</v>
      </c>
      <c r="E46" s="50" t="s">
        <v>2</v>
      </c>
      <c r="F46" s="50" t="s">
        <v>2</v>
      </c>
    </row>
    <row r="47" spans="1:11">
      <c r="A47" s="2"/>
      <c r="B47" s="3"/>
      <c r="C47" s="3"/>
      <c r="D47" s="3"/>
      <c r="E47" s="3"/>
      <c r="F47" s="3"/>
    </row>
    <row r="48" spans="1:11">
      <c r="A48" s="6" t="s">
        <v>27</v>
      </c>
      <c r="B48" s="62"/>
      <c r="C48" s="190">
        <v>2022</v>
      </c>
      <c r="D48" s="190"/>
      <c r="E48" s="190"/>
      <c r="F48" s="190"/>
    </row>
    <row r="49" spans="1:6">
      <c r="A49" s="7" t="s">
        <v>4</v>
      </c>
      <c r="B49" s="64" t="s">
        <v>0</v>
      </c>
      <c r="C49" s="63" t="s">
        <v>36</v>
      </c>
      <c r="D49" s="63" t="s">
        <v>37</v>
      </c>
      <c r="E49" s="63" t="s">
        <v>42</v>
      </c>
      <c r="F49" s="63" t="s">
        <v>39</v>
      </c>
    </row>
    <row r="50" spans="1:6">
      <c r="A50" s="2" t="s">
        <v>28</v>
      </c>
      <c r="B50" s="12">
        <v>1253147</v>
      </c>
      <c r="C50" s="12">
        <v>320778</v>
      </c>
      <c r="D50" s="12">
        <v>308371</v>
      </c>
      <c r="E50" s="12">
        <v>324891</v>
      </c>
      <c r="F50" s="12">
        <v>299107</v>
      </c>
    </row>
    <row r="51" spans="1:6">
      <c r="A51" s="13" t="s">
        <v>29</v>
      </c>
      <c r="B51" s="50" t="s">
        <v>2</v>
      </c>
      <c r="C51" s="50" t="s">
        <v>2</v>
      </c>
      <c r="D51" s="50" t="s">
        <v>2</v>
      </c>
      <c r="E51" s="50" t="s">
        <v>2</v>
      </c>
      <c r="F51" s="50" t="s">
        <v>2</v>
      </c>
    </row>
    <row r="52" spans="1:6">
      <c r="A52" s="13" t="s">
        <v>30</v>
      </c>
      <c r="B52" s="12">
        <v>-35305</v>
      </c>
      <c r="C52" s="12">
        <v>-10478</v>
      </c>
      <c r="D52" s="12">
        <v>-9354</v>
      </c>
      <c r="E52" s="12">
        <v>-6550</v>
      </c>
      <c r="F52" s="12">
        <v>-8923</v>
      </c>
    </row>
    <row r="53" spans="1:6">
      <c r="A53" s="53" t="s">
        <v>31</v>
      </c>
      <c r="B53" s="54">
        <v>-69087</v>
      </c>
      <c r="C53" s="54">
        <v>-18638</v>
      </c>
      <c r="D53" s="54">
        <v>-18766</v>
      </c>
      <c r="E53" s="54">
        <v>-17676</v>
      </c>
      <c r="F53" s="54">
        <v>-14007</v>
      </c>
    </row>
    <row r="54" spans="1:6">
      <c r="A54" s="2" t="s">
        <v>33</v>
      </c>
      <c r="B54" s="10">
        <f>SUM(B52:B53)</f>
        <v>-104392</v>
      </c>
      <c r="C54" s="10">
        <f>SUM(C52:C53)</f>
        <v>-29116</v>
      </c>
      <c r="D54" s="10">
        <f>SUM(D52:D53)</f>
        <v>-28120</v>
      </c>
      <c r="E54" s="10">
        <f>SUM(E52:E53)</f>
        <v>-24226</v>
      </c>
      <c r="F54" s="10">
        <f>SUM(F52:F53)</f>
        <v>-22930</v>
      </c>
    </row>
    <row r="55" spans="1:6">
      <c r="A55" s="2" t="s">
        <v>34</v>
      </c>
      <c r="B55" s="10">
        <f>B50+B54</f>
        <v>1148755</v>
      </c>
      <c r="C55" s="10">
        <f>C50+C54</f>
        <v>291662</v>
      </c>
      <c r="D55" s="10">
        <f>D50+D54</f>
        <v>280251</v>
      </c>
      <c r="E55" s="10">
        <f>E50+E54</f>
        <v>300665</v>
      </c>
      <c r="F55" s="10">
        <f>F50+F54</f>
        <v>276177</v>
      </c>
    </row>
    <row r="56" spans="1:6">
      <c r="A56" s="2" t="s">
        <v>35</v>
      </c>
      <c r="B56" s="11">
        <v>11.4</v>
      </c>
      <c r="C56" s="11">
        <v>6.4</v>
      </c>
      <c r="D56" s="11">
        <v>11.8</v>
      </c>
      <c r="E56" s="11">
        <v>17.399999999999999</v>
      </c>
      <c r="F56" s="11">
        <v>10.199999999999999</v>
      </c>
    </row>
    <row r="58" spans="1:6">
      <c r="A58" s="6" t="s">
        <v>65</v>
      </c>
      <c r="B58" s="62"/>
      <c r="C58" s="190">
        <v>2022</v>
      </c>
      <c r="D58" s="190"/>
      <c r="E58" s="190"/>
      <c r="F58" s="190"/>
    </row>
    <row r="59" spans="1:6">
      <c r="A59" s="7" t="s">
        <v>4</v>
      </c>
      <c r="B59" s="64" t="s">
        <v>0</v>
      </c>
      <c r="C59" s="63" t="s">
        <v>36</v>
      </c>
      <c r="D59" s="63" t="s">
        <v>37</v>
      </c>
      <c r="E59" s="63" t="s">
        <v>42</v>
      </c>
      <c r="F59" s="63" t="s">
        <v>39</v>
      </c>
    </row>
    <row r="60" spans="1:6">
      <c r="A60" s="2" t="s">
        <v>68</v>
      </c>
    </row>
    <row r="61" spans="1:6">
      <c r="A61" s="2" t="s">
        <v>64</v>
      </c>
      <c r="B61" s="10">
        <f>SUM(C61:F61)</f>
        <v>643943</v>
      </c>
      <c r="C61" s="10">
        <v>161525</v>
      </c>
      <c r="D61" s="10">
        <v>157882</v>
      </c>
      <c r="E61" s="10">
        <v>169723</v>
      </c>
      <c r="F61" s="10">
        <v>154813</v>
      </c>
    </row>
    <row r="62" spans="1:6">
      <c r="A62" s="13" t="s">
        <v>29</v>
      </c>
    </row>
    <row r="63" spans="1:6">
      <c r="A63" s="13" t="s">
        <v>30</v>
      </c>
      <c r="B63" s="12">
        <f>SUM(C63:F63)</f>
        <v>-18110</v>
      </c>
      <c r="C63" s="12">
        <v>-5280</v>
      </c>
      <c r="D63" s="12">
        <v>-4790</v>
      </c>
      <c r="E63" s="12">
        <v>-3421</v>
      </c>
      <c r="F63" s="12">
        <v>-4619</v>
      </c>
    </row>
    <row r="64" spans="1:6">
      <c r="A64" s="53" t="s">
        <v>31</v>
      </c>
      <c r="B64" s="183">
        <f>SUM(C64:F64)</f>
        <v>-67953</v>
      </c>
      <c r="C64" s="183">
        <v>-18166</v>
      </c>
      <c r="D64" s="183">
        <v>-18435</v>
      </c>
      <c r="E64" s="183">
        <v>-17345</v>
      </c>
      <c r="F64" s="183">
        <v>-14007</v>
      </c>
    </row>
    <row r="65" spans="1:8">
      <c r="A65" s="2" t="s">
        <v>33</v>
      </c>
      <c r="B65" s="10">
        <f>SUM(B63:B64)</f>
        <v>-86063</v>
      </c>
      <c r="C65" s="10">
        <f>SUM(C63:C64)</f>
        <v>-23446</v>
      </c>
      <c r="D65" s="10">
        <f>SUM(D63:D64)</f>
        <v>-23225</v>
      </c>
      <c r="E65" s="10">
        <f>SUM(E63:E64)</f>
        <v>-20766</v>
      </c>
      <c r="F65" s="10">
        <f>SUM(F63:F64)</f>
        <v>-18626</v>
      </c>
    </row>
    <row r="66" spans="1:8">
      <c r="A66" s="2" t="s">
        <v>34</v>
      </c>
      <c r="B66" s="10">
        <f>SUM(C66:F66)</f>
        <v>557880</v>
      </c>
      <c r="C66" s="10">
        <f>C61+C65</f>
        <v>138079</v>
      </c>
      <c r="D66" s="10">
        <f>D61+D65</f>
        <v>134657</v>
      </c>
      <c r="E66" s="10">
        <f>E61+E65</f>
        <v>148957</v>
      </c>
      <c r="F66" s="10">
        <f>F61+F65</f>
        <v>136187</v>
      </c>
    </row>
    <row r="67" spans="1:8">
      <c r="A67" s="2" t="s">
        <v>63</v>
      </c>
      <c r="B67" s="11">
        <f>(557880-472737)/472737*100</f>
        <v>18.010648627037867</v>
      </c>
      <c r="C67" s="11">
        <f>(138079-128252)/128252*100+0.1</f>
        <v>7.7622586782272407</v>
      </c>
      <c r="D67" s="11">
        <f>(134657-115573)/115573*100</f>
        <v>16.51250724650221</v>
      </c>
      <c r="E67" s="11">
        <f>(148957-115762)/115762*100</f>
        <v>28.67521293688775</v>
      </c>
      <c r="F67" s="11">
        <f>(136187-113151)/113151*100</f>
        <v>20.358635805251389</v>
      </c>
    </row>
    <row r="69" spans="1:8">
      <c r="A69" s="2" t="s">
        <v>69</v>
      </c>
    </row>
    <row r="70" spans="1:8">
      <c r="A70" s="2" t="s">
        <v>64</v>
      </c>
      <c r="B70" s="46">
        <f>C70+D70+E70+F70</f>
        <v>575321</v>
      </c>
      <c r="C70" s="10">
        <v>149244</v>
      </c>
      <c r="D70" s="10">
        <v>143099</v>
      </c>
      <c r="E70" s="10">
        <v>146102</v>
      </c>
      <c r="F70" s="10">
        <v>136876</v>
      </c>
      <c r="H70" s="12"/>
    </row>
    <row r="71" spans="1:8">
      <c r="A71" s="13" t="s">
        <v>29</v>
      </c>
    </row>
    <row r="72" spans="1:8">
      <c r="A72" s="13" t="s">
        <v>30</v>
      </c>
      <c r="B72" s="50">
        <f>C72+D72+E72+F72</f>
        <v>-17195</v>
      </c>
      <c r="C72" s="12">
        <v>-5198</v>
      </c>
      <c r="D72" s="12">
        <v>-4564</v>
      </c>
      <c r="E72" s="12">
        <v>-3129</v>
      </c>
      <c r="F72" s="12">
        <v>-4304</v>
      </c>
    </row>
    <row r="73" spans="1:8">
      <c r="A73" s="53" t="s">
        <v>31</v>
      </c>
      <c r="B73" s="182">
        <f>SUM(C73:F73)</f>
        <v>-989</v>
      </c>
      <c r="C73" s="182">
        <v>-331</v>
      </c>
      <c r="D73" s="182">
        <v>-331</v>
      </c>
      <c r="E73" s="182">
        <v>-327</v>
      </c>
      <c r="F73" s="181" t="s">
        <v>2</v>
      </c>
    </row>
    <row r="74" spans="1:8">
      <c r="A74" s="2" t="s">
        <v>33</v>
      </c>
      <c r="B74" s="10">
        <f>SUM(B72:B73)</f>
        <v>-18184</v>
      </c>
      <c r="C74" s="10">
        <f>SUM(C72:C73)</f>
        <v>-5529</v>
      </c>
      <c r="D74" s="10">
        <f>SUM(D72:D73)</f>
        <v>-4895</v>
      </c>
      <c r="E74" s="10">
        <f>SUM(E72:E73)</f>
        <v>-3456</v>
      </c>
      <c r="F74" s="10">
        <f>SUM(F72:F73)</f>
        <v>-4304</v>
      </c>
    </row>
    <row r="75" spans="1:8">
      <c r="A75" s="2" t="s">
        <v>34</v>
      </c>
      <c r="B75" s="46">
        <f>C75+D75+E75+F75</f>
        <v>557137</v>
      </c>
      <c r="C75" s="10">
        <f>C70+C74</f>
        <v>143715</v>
      </c>
      <c r="D75" s="10">
        <f>D70+D74</f>
        <v>138204</v>
      </c>
      <c r="E75" s="10">
        <f>E70+E74</f>
        <v>142646</v>
      </c>
      <c r="F75" s="10">
        <f>F70+F74</f>
        <v>132572</v>
      </c>
    </row>
    <row r="76" spans="1:8">
      <c r="A76" s="2" t="s">
        <v>63</v>
      </c>
      <c r="B76" s="11">
        <f>(557137-527796)/527796*100+0.3</f>
        <v>5.8591554312651102</v>
      </c>
      <c r="C76" s="11">
        <f>(143715-138972)/138972*100+1</f>
        <v>4.4129177100423105</v>
      </c>
      <c r="D76" s="11">
        <f>(138204-127279)/127279*100+0.1</f>
        <v>8.6835055272275863</v>
      </c>
      <c r="E76" s="11">
        <f>(142646-132543)/132543*100+0.2</f>
        <v>7.8224319654753556</v>
      </c>
      <c r="F76" s="11">
        <f>(132572-128935)/128935*100+0.1</f>
        <v>2.920801178888587</v>
      </c>
    </row>
    <row r="77" spans="1:8">
      <c r="A77" s="13"/>
    </row>
    <row r="78" spans="1:8">
      <c r="F78" s="12"/>
    </row>
    <row r="79" spans="1:8">
      <c r="B79" s="10"/>
      <c r="C79" s="10"/>
      <c r="D79" s="10"/>
      <c r="E79" s="10"/>
      <c r="F79" s="10"/>
    </row>
    <row r="80" spans="1:8">
      <c r="B80" s="10"/>
      <c r="C80" s="10"/>
      <c r="D80" s="10"/>
    </row>
    <row r="81" spans="2:5">
      <c r="B81" s="77"/>
      <c r="C81" s="77"/>
      <c r="D81" s="77"/>
      <c r="E81" s="77"/>
    </row>
  </sheetData>
  <mergeCells count="6">
    <mergeCell ref="C58:F58"/>
    <mergeCell ref="C4:F4"/>
    <mergeCell ref="C23:F23"/>
    <mergeCell ref="C29:F29"/>
    <mergeCell ref="C42:F42"/>
    <mergeCell ref="C48:F4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ignoredErrors>
    <ignoredError sqref="B64 B73" unlockedFormula="1"/>
    <ignoredError sqref="B6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A219F-6F18-4278-A9A9-00DBB0519C2A}">
  <dimension ref="A2:I83"/>
  <sheetViews>
    <sheetView zoomScale="90" zoomScaleNormal="90" workbookViewId="0">
      <selection activeCell="A2" sqref="A2"/>
    </sheetView>
  </sheetViews>
  <sheetFormatPr defaultRowHeight="12.75"/>
  <cols>
    <col min="1" max="1" width="48.5703125" customWidth="1"/>
    <col min="3" max="3" width="11.140625" customWidth="1"/>
    <col min="4" max="4" width="11.5703125" customWidth="1"/>
    <col min="5" max="5" width="11.28515625" customWidth="1"/>
    <col min="6" max="6" width="12.140625" customWidth="1"/>
  </cols>
  <sheetData>
    <row r="2" spans="1:6">
      <c r="A2" s="184" t="s">
        <v>70</v>
      </c>
    </row>
    <row r="3" spans="1:6">
      <c r="A3" s="1" t="s">
        <v>40</v>
      </c>
    </row>
    <row r="4" spans="1:6">
      <c r="A4" s="65" t="s">
        <v>5</v>
      </c>
      <c r="B4" s="62"/>
      <c r="C4" s="190">
        <v>2021</v>
      </c>
      <c r="D4" s="190"/>
      <c r="E4" s="190"/>
      <c r="F4" s="190"/>
    </row>
    <row r="5" spans="1:6">
      <c r="A5" s="65" t="s">
        <v>4</v>
      </c>
      <c r="B5" s="64" t="s">
        <v>0</v>
      </c>
      <c r="C5" s="63" t="s">
        <v>36</v>
      </c>
      <c r="D5" s="63" t="s">
        <v>37</v>
      </c>
      <c r="E5" s="63" t="s">
        <v>38</v>
      </c>
      <c r="F5" s="63" t="s">
        <v>39</v>
      </c>
    </row>
    <row r="6" spans="1:6">
      <c r="A6" s="8" t="s">
        <v>6</v>
      </c>
      <c r="B6" s="12">
        <v>102751</v>
      </c>
      <c r="C6" s="12">
        <v>31698</v>
      </c>
      <c r="D6" s="12">
        <v>24415</v>
      </c>
      <c r="E6" s="12">
        <v>24792</v>
      </c>
      <c r="F6" s="12">
        <v>21847</v>
      </c>
    </row>
    <row r="7" spans="1:6">
      <c r="A7" s="49" t="s">
        <v>7</v>
      </c>
      <c r="B7" s="56">
        <v>35195</v>
      </c>
      <c r="C7" s="56">
        <v>9118</v>
      </c>
      <c r="D7" s="56">
        <v>8068</v>
      </c>
      <c r="E7" s="56">
        <v>9181</v>
      </c>
      <c r="F7" s="56">
        <v>8828</v>
      </c>
    </row>
    <row r="8" spans="1:6">
      <c r="A8" s="66" t="s">
        <v>5</v>
      </c>
      <c r="B8" s="10">
        <f>SUM(B6:B7)</f>
        <v>137946</v>
      </c>
      <c r="C8" s="10">
        <f>C6+C7</f>
        <v>40816</v>
      </c>
      <c r="D8" s="10">
        <f>D6+D7</f>
        <v>32483</v>
      </c>
      <c r="E8" s="10">
        <f>SUM(E6:E7)</f>
        <v>33973</v>
      </c>
      <c r="F8" s="10">
        <f>SUM(F6:F7)</f>
        <v>30675</v>
      </c>
    </row>
    <row r="9" spans="1:6">
      <c r="A9" s="57" t="s">
        <v>8</v>
      </c>
      <c r="B9" s="12"/>
      <c r="C9" s="12"/>
      <c r="D9" s="12"/>
      <c r="E9" s="12"/>
      <c r="F9" s="12"/>
    </row>
    <row r="10" spans="1:6">
      <c r="A10" s="8" t="s">
        <v>5</v>
      </c>
      <c r="B10" s="12">
        <f>B8</f>
        <v>137946</v>
      </c>
      <c r="C10" s="12">
        <f>C8</f>
        <v>40816</v>
      </c>
      <c r="D10" s="12">
        <v>32483</v>
      </c>
      <c r="E10" s="12">
        <v>33973</v>
      </c>
      <c r="F10" s="12">
        <v>30675</v>
      </c>
    </row>
    <row r="11" spans="1:6">
      <c r="A11" s="49" t="s">
        <v>9</v>
      </c>
      <c r="B11" s="54"/>
      <c r="C11" s="54" t="s">
        <v>2</v>
      </c>
      <c r="D11" s="54" t="s">
        <v>2</v>
      </c>
      <c r="E11" s="54" t="s">
        <v>2</v>
      </c>
      <c r="F11" s="54" t="s">
        <v>2</v>
      </c>
    </row>
    <row r="12" spans="1:6">
      <c r="A12" s="57" t="s">
        <v>8</v>
      </c>
      <c r="B12" s="10">
        <f>SUM(B10:B11)</f>
        <v>137946</v>
      </c>
      <c r="C12" s="10">
        <f>SUM(C10:C11)</f>
        <v>40816</v>
      </c>
      <c r="D12" s="10">
        <f>SUM(D10:D11)</f>
        <v>32483</v>
      </c>
      <c r="E12" s="10">
        <f>SUM(E10:E11)</f>
        <v>33973</v>
      </c>
      <c r="F12" s="10">
        <f>SUM(F10:F11)</f>
        <v>30675</v>
      </c>
    </row>
    <row r="13" spans="1:6">
      <c r="A13" s="57" t="s">
        <v>10</v>
      </c>
      <c r="B13" s="12"/>
      <c r="C13" s="12"/>
      <c r="D13" s="12"/>
      <c r="E13" s="12"/>
      <c r="F13" s="12"/>
    </row>
    <row r="14" spans="1:6">
      <c r="A14" s="8" t="s">
        <v>6</v>
      </c>
      <c r="B14" s="12">
        <f>B6</f>
        <v>102751</v>
      </c>
      <c r="C14" s="12">
        <f>C6</f>
        <v>31698</v>
      </c>
      <c r="D14" s="12">
        <f>D6</f>
        <v>24415</v>
      </c>
      <c r="E14" s="12">
        <v>24792</v>
      </c>
      <c r="F14" s="12">
        <v>21847</v>
      </c>
    </row>
    <row r="15" spans="1:6">
      <c r="A15" s="49" t="s">
        <v>11</v>
      </c>
      <c r="B15" s="56">
        <f>709*4</f>
        <v>2836</v>
      </c>
      <c r="C15" s="56">
        <v>709</v>
      </c>
      <c r="D15" s="56">
        <v>709</v>
      </c>
      <c r="E15" s="56">
        <v>709</v>
      </c>
      <c r="F15" s="54">
        <v>709</v>
      </c>
    </row>
    <row r="16" spans="1:6">
      <c r="A16" s="57" t="s">
        <v>10</v>
      </c>
      <c r="B16" s="12">
        <f>SUM(B14:B15)</f>
        <v>105587</v>
      </c>
      <c r="C16" s="12">
        <f>SUM(C14:C15)</f>
        <v>32407</v>
      </c>
      <c r="D16" s="12">
        <f>SUM(D14:D15)</f>
        <v>25124</v>
      </c>
      <c r="E16" s="12">
        <f>SUM(E14:E15)</f>
        <v>25501</v>
      </c>
      <c r="F16" s="12">
        <f>SUM(F14:F15)</f>
        <v>22556</v>
      </c>
    </row>
    <row r="17" spans="1:6">
      <c r="A17" s="13" t="s">
        <v>12</v>
      </c>
      <c r="B17" s="12"/>
      <c r="C17" s="12"/>
      <c r="D17" s="11"/>
      <c r="E17" s="11"/>
      <c r="F17" s="11"/>
    </row>
    <row r="18" spans="1:6">
      <c r="A18" s="2" t="s">
        <v>10</v>
      </c>
      <c r="B18" s="12">
        <f>B16</f>
        <v>105587</v>
      </c>
      <c r="C18" s="12">
        <f>C16</f>
        <v>32407</v>
      </c>
      <c r="D18" s="12">
        <f>D16</f>
        <v>25124</v>
      </c>
      <c r="E18" s="12">
        <v>25501</v>
      </c>
      <c r="F18" s="12">
        <v>22556</v>
      </c>
    </row>
    <row r="19" spans="1:6">
      <c r="A19" s="53" t="s">
        <v>9</v>
      </c>
      <c r="B19" s="54" t="s">
        <v>2</v>
      </c>
      <c r="C19" s="54" t="s">
        <v>2</v>
      </c>
      <c r="D19" s="54" t="s">
        <v>2</v>
      </c>
      <c r="E19" s="54" t="s">
        <v>2</v>
      </c>
      <c r="F19" s="54" t="s">
        <v>2</v>
      </c>
    </row>
    <row r="20" spans="1:6">
      <c r="A20" s="2" t="s">
        <v>12</v>
      </c>
      <c r="B20" s="12">
        <f>SUM(B18:B19)</f>
        <v>105587</v>
      </c>
      <c r="C20" s="12">
        <f>SUM(C18:C19)</f>
        <v>32407</v>
      </c>
      <c r="D20" s="12">
        <f>SUM(D18:D19)</f>
        <v>25124</v>
      </c>
      <c r="E20" s="12">
        <f>SUM(E18:E19)</f>
        <v>25501</v>
      </c>
      <c r="F20" s="12">
        <f>SUM(F18:F19)</f>
        <v>22556</v>
      </c>
    </row>
    <row r="21" spans="1:6">
      <c r="A21" s="11"/>
      <c r="B21" s="11"/>
      <c r="C21" s="11"/>
      <c r="D21" s="11"/>
      <c r="E21" s="11"/>
      <c r="F21" s="11"/>
    </row>
    <row r="22" spans="1:6">
      <c r="A22" s="1" t="s">
        <v>41</v>
      </c>
      <c r="B22" s="1"/>
      <c r="C22" s="1"/>
      <c r="D22" s="1"/>
      <c r="E22" s="1"/>
      <c r="F22" s="1"/>
    </row>
    <row r="23" spans="1:6">
      <c r="A23" s="65" t="s">
        <v>13</v>
      </c>
      <c r="B23" s="62"/>
      <c r="C23" s="190">
        <v>2021</v>
      </c>
      <c r="D23" s="190"/>
      <c r="E23" s="190"/>
      <c r="F23" s="190"/>
    </row>
    <row r="24" spans="1:6">
      <c r="A24" s="65" t="s">
        <v>4</v>
      </c>
      <c r="B24" s="64" t="s">
        <v>0</v>
      </c>
      <c r="C24" s="63" t="s">
        <v>36</v>
      </c>
      <c r="D24" s="63" t="s">
        <v>37</v>
      </c>
      <c r="E24" s="63" t="s">
        <v>38</v>
      </c>
      <c r="F24" s="63" t="s">
        <v>39</v>
      </c>
    </row>
    <row r="25" spans="1:6">
      <c r="A25" s="13" t="s">
        <v>1</v>
      </c>
      <c r="B25" s="12">
        <f>C25</f>
        <v>715533</v>
      </c>
      <c r="C25" s="12">
        <v>715533</v>
      </c>
      <c r="D25" s="12">
        <v>682253</v>
      </c>
      <c r="E25" s="12">
        <v>661699</v>
      </c>
      <c r="F25" s="12">
        <v>657735</v>
      </c>
    </row>
    <row r="26" spans="1:6">
      <c r="A26" s="53" t="s">
        <v>14</v>
      </c>
      <c r="B26" s="56">
        <f>C26</f>
        <v>1185027</v>
      </c>
      <c r="C26" s="56">
        <v>1185027</v>
      </c>
      <c r="D26" s="56">
        <v>1143228</v>
      </c>
      <c r="E26" s="56">
        <v>1092230</v>
      </c>
      <c r="F26" s="56">
        <v>1104946</v>
      </c>
    </row>
    <row r="27" spans="1:6">
      <c r="A27" s="9" t="s">
        <v>15</v>
      </c>
      <c r="B27" s="61">
        <f>B25/B26</f>
        <v>0.6038115587239784</v>
      </c>
      <c r="C27" s="61">
        <f>C25/C26</f>
        <v>0.6038115587239784</v>
      </c>
      <c r="D27" s="61">
        <f>D25/D26</f>
        <v>0.59677772062965573</v>
      </c>
      <c r="E27" s="61">
        <f>E25/E26</f>
        <v>0.60582386493687224</v>
      </c>
      <c r="F27" s="61">
        <f>F25/F26</f>
        <v>0.59526438396084513</v>
      </c>
    </row>
    <row r="28" spans="1:6">
      <c r="A28" s="5"/>
      <c r="B28" s="4"/>
      <c r="C28" s="4"/>
      <c r="D28" s="4"/>
      <c r="E28" s="4"/>
      <c r="F28" s="4"/>
    </row>
    <row r="29" spans="1:6">
      <c r="A29" s="65" t="s">
        <v>3</v>
      </c>
      <c r="B29" s="62"/>
      <c r="C29" s="190">
        <v>2021</v>
      </c>
      <c r="D29" s="190"/>
      <c r="E29" s="190"/>
      <c r="F29" s="190"/>
    </row>
    <row r="30" spans="1:6">
      <c r="A30" s="65" t="s">
        <v>4</v>
      </c>
      <c r="B30" s="64" t="s">
        <v>0</v>
      </c>
      <c r="C30" s="63" t="s">
        <v>36</v>
      </c>
      <c r="D30" s="63" t="s">
        <v>37</v>
      </c>
      <c r="E30" s="63" t="s">
        <v>42</v>
      </c>
      <c r="F30" s="63" t="s">
        <v>39</v>
      </c>
    </row>
    <row r="31" spans="1:6">
      <c r="A31" s="8" t="s">
        <v>16</v>
      </c>
      <c r="B31" s="12">
        <f>C31</f>
        <v>151694</v>
      </c>
      <c r="C31" s="12">
        <f>8364+143330</f>
        <v>151694</v>
      </c>
      <c r="D31" s="12">
        <v>14664</v>
      </c>
      <c r="E31" s="12">
        <v>14579</v>
      </c>
      <c r="F31" s="12">
        <v>24187</v>
      </c>
    </row>
    <row r="32" spans="1:6">
      <c r="A32" s="8" t="s">
        <v>17</v>
      </c>
      <c r="B32" s="50" t="str">
        <f>C32</f>
        <v>-</v>
      </c>
      <c r="C32" s="50" t="s">
        <v>2</v>
      </c>
      <c r="D32" s="12">
        <v>146660</v>
      </c>
      <c r="E32" s="12">
        <v>146660</v>
      </c>
      <c r="F32" s="12">
        <v>146660</v>
      </c>
    </row>
    <row r="33" spans="1:9">
      <c r="A33" s="8" t="s">
        <v>18</v>
      </c>
      <c r="B33" s="12">
        <f>C33</f>
        <v>103420</v>
      </c>
      <c r="C33" s="12">
        <v>103420</v>
      </c>
      <c r="D33" s="12">
        <v>106534</v>
      </c>
      <c r="E33" s="12">
        <v>81003</v>
      </c>
      <c r="F33" s="12">
        <v>85361</v>
      </c>
    </row>
    <row r="34" spans="1:9">
      <c r="A34" s="8" t="s">
        <v>19</v>
      </c>
      <c r="B34" s="50" t="s">
        <v>2</v>
      </c>
      <c r="C34" s="50" t="s">
        <v>2</v>
      </c>
      <c r="D34" s="50" t="s">
        <v>2</v>
      </c>
      <c r="E34" s="50" t="s">
        <v>2</v>
      </c>
      <c r="F34" s="50" t="s">
        <v>2</v>
      </c>
    </row>
    <row r="35" spans="1:9">
      <c r="A35" s="49" t="s">
        <v>20</v>
      </c>
      <c r="B35" s="59">
        <f>C35</f>
        <v>-131666</v>
      </c>
      <c r="C35" s="58">
        <v>-131666</v>
      </c>
      <c r="D35" s="56">
        <v>-112425</v>
      </c>
      <c r="E35" s="56">
        <v>-82863</v>
      </c>
      <c r="F35" s="56">
        <v>-80019</v>
      </c>
    </row>
    <row r="36" spans="1:9">
      <c r="A36" s="2" t="s">
        <v>21</v>
      </c>
      <c r="B36" s="10">
        <f>SUM(B31:B35)</f>
        <v>123448</v>
      </c>
      <c r="C36" s="10">
        <f>SUM(C31:C35)</f>
        <v>123448</v>
      </c>
      <c r="D36" s="10">
        <f>SUM(D31:D35)</f>
        <v>155433</v>
      </c>
      <c r="E36" s="10">
        <f>SUM(E31:E35)</f>
        <v>159379</v>
      </c>
      <c r="F36" s="10">
        <f>SUM(F31:F35)</f>
        <v>176189</v>
      </c>
    </row>
    <row r="37" spans="1:9">
      <c r="A37" s="13" t="s">
        <v>22</v>
      </c>
      <c r="B37" s="12"/>
      <c r="C37" s="11"/>
      <c r="D37" s="11"/>
      <c r="E37" s="52"/>
      <c r="F37" s="11"/>
    </row>
    <row r="38" spans="1:9">
      <c r="A38" s="2" t="s">
        <v>21</v>
      </c>
      <c r="B38" s="12">
        <f>C38</f>
        <v>123448</v>
      </c>
      <c r="C38" s="12">
        <f>C36</f>
        <v>123448</v>
      </c>
      <c r="D38" s="12">
        <f>D36</f>
        <v>155433</v>
      </c>
      <c r="E38" s="12">
        <f>E36</f>
        <v>159379</v>
      </c>
      <c r="F38" s="12">
        <f>F36</f>
        <v>176189</v>
      </c>
    </row>
    <row r="39" spans="1:9">
      <c r="A39" s="13" t="s">
        <v>23</v>
      </c>
      <c r="B39" s="12">
        <f>C39</f>
        <v>137927</v>
      </c>
      <c r="C39" s="12">
        <v>137927</v>
      </c>
      <c r="D39" s="12">
        <v>134230</v>
      </c>
      <c r="E39" s="12">
        <v>131812</v>
      </c>
      <c r="F39" s="12">
        <v>113343</v>
      </c>
    </row>
    <row r="40" spans="1:9">
      <c r="A40" s="13" t="s">
        <v>43</v>
      </c>
      <c r="B40" s="60">
        <f>B38/B39</f>
        <v>0.8950241794572491</v>
      </c>
      <c r="C40" s="60">
        <v>0.9</v>
      </c>
      <c r="D40" s="60">
        <v>1.2</v>
      </c>
      <c r="E40" s="60">
        <v>1.2</v>
      </c>
      <c r="F40" s="60">
        <v>1.6</v>
      </c>
      <c r="I40" s="173"/>
    </row>
    <row r="41" spans="1:9">
      <c r="A41" s="5"/>
      <c r="B41" s="1"/>
      <c r="C41" s="1"/>
      <c r="D41" s="1"/>
      <c r="E41" s="1"/>
      <c r="F41" s="1"/>
    </row>
    <row r="42" spans="1:9">
      <c r="A42" s="65" t="s">
        <v>24</v>
      </c>
      <c r="B42" s="62"/>
      <c r="C42" s="190">
        <v>2021</v>
      </c>
      <c r="D42" s="190"/>
      <c r="E42" s="190"/>
      <c r="F42" s="190"/>
    </row>
    <row r="43" spans="1:9">
      <c r="A43" s="65" t="s">
        <v>4</v>
      </c>
      <c r="B43" s="64" t="s">
        <v>0</v>
      </c>
      <c r="C43" s="63" t="s">
        <v>36</v>
      </c>
      <c r="D43" s="63" t="s">
        <v>37</v>
      </c>
      <c r="E43" s="63" t="s">
        <v>42</v>
      </c>
      <c r="F43" s="63" t="s">
        <v>39</v>
      </c>
    </row>
    <row r="44" spans="1:9">
      <c r="A44" s="2" t="s">
        <v>5</v>
      </c>
      <c r="B44" s="1"/>
      <c r="C44" s="1"/>
      <c r="D44" s="1"/>
      <c r="E44" s="1"/>
      <c r="F44" s="1"/>
    </row>
    <row r="45" spans="1:9">
      <c r="A45" s="53" t="s">
        <v>25</v>
      </c>
      <c r="B45" s="54" t="s">
        <v>2</v>
      </c>
      <c r="C45" s="54" t="s">
        <v>2</v>
      </c>
      <c r="D45" s="54" t="s">
        <v>2</v>
      </c>
      <c r="E45" s="54" t="s">
        <v>2</v>
      </c>
      <c r="F45" s="54" t="s">
        <v>2</v>
      </c>
    </row>
    <row r="46" spans="1:9">
      <c r="A46" s="2" t="s">
        <v>26</v>
      </c>
      <c r="B46" s="50" t="s">
        <v>2</v>
      </c>
      <c r="C46" s="50" t="s">
        <v>2</v>
      </c>
      <c r="D46" s="50" t="s">
        <v>2</v>
      </c>
      <c r="E46" s="50" t="s">
        <v>2</v>
      </c>
      <c r="F46" s="50" t="s">
        <v>2</v>
      </c>
    </row>
    <row r="47" spans="1:9">
      <c r="A47" s="2"/>
      <c r="B47" s="3"/>
      <c r="C47" s="3"/>
      <c r="D47" s="3"/>
      <c r="E47" s="3"/>
      <c r="F47" s="3"/>
    </row>
    <row r="48" spans="1:9">
      <c r="A48" s="6" t="s">
        <v>27</v>
      </c>
      <c r="B48" s="62"/>
      <c r="C48" s="190">
        <v>2021</v>
      </c>
      <c r="D48" s="190"/>
      <c r="E48" s="190"/>
      <c r="F48" s="190"/>
    </row>
    <row r="49" spans="1:6">
      <c r="A49" s="7" t="s">
        <v>4</v>
      </c>
      <c r="B49" s="64" t="s">
        <v>0</v>
      </c>
      <c r="C49" s="63" t="s">
        <v>36</v>
      </c>
      <c r="D49" s="63" t="s">
        <v>37</v>
      </c>
      <c r="E49" s="63" t="s">
        <v>42</v>
      </c>
      <c r="F49" s="63" t="s">
        <v>39</v>
      </c>
    </row>
    <row r="50" spans="1:6">
      <c r="A50" s="2" t="s">
        <v>28</v>
      </c>
      <c r="B50" s="12">
        <v>1032515</v>
      </c>
      <c r="C50" s="12">
        <v>275319</v>
      </c>
      <c r="D50" s="12">
        <v>250428</v>
      </c>
      <c r="E50" s="12">
        <v>256438</v>
      </c>
      <c r="F50" s="12">
        <v>250430</v>
      </c>
    </row>
    <row r="51" spans="1:6">
      <c r="A51" s="13" t="s">
        <v>29</v>
      </c>
      <c r="B51" s="12"/>
      <c r="C51" s="12"/>
      <c r="D51" s="12"/>
      <c r="E51" s="12"/>
      <c r="F51" s="12"/>
    </row>
    <row r="52" spans="1:6">
      <c r="A52" s="13" t="s">
        <v>30</v>
      </c>
      <c r="B52" s="12">
        <v>3984</v>
      </c>
      <c r="C52" s="12">
        <v>-3469</v>
      </c>
      <c r="D52" s="12">
        <v>575</v>
      </c>
      <c r="E52" s="12">
        <v>653</v>
      </c>
      <c r="F52" s="12">
        <v>6225</v>
      </c>
    </row>
    <row r="53" spans="1:6">
      <c r="A53" s="53" t="s">
        <v>31</v>
      </c>
      <c r="B53" s="54" t="s">
        <v>2</v>
      </c>
      <c r="C53" s="54" t="s">
        <v>2</v>
      </c>
      <c r="D53" s="54" t="s">
        <v>2</v>
      </c>
      <c r="E53" s="54" t="s">
        <v>2</v>
      </c>
      <c r="F53" s="54" t="s">
        <v>2</v>
      </c>
    </row>
    <row r="54" spans="1:6">
      <c r="A54" s="2" t="s">
        <v>33</v>
      </c>
      <c r="B54" s="10">
        <f>SUM(B52:B53)</f>
        <v>3984</v>
      </c>
      <c r="C54" s="10">
        <f>SUM(C52:C53)</f>
        <v>-3469</v>
      </c>
      <c r="D54" s="10">
        <f>SUM(D52:D53)</f>
        <v>575</v>
      </c>
      <c r="E54" s="10">
        <f>SUM(E52:E53)</f>
        <v>653</v>
      </c>
      <c r="F54" s="10">
        <f>SUM(F52:F53)</f>
        <v>6225</v>
      </c>
    </row>
    <row r="55" spans="1:6">
      <c r="A55" s="2" t="s">
        <v>34</v>
      </c>
      <c r="B55" s="10">
        <f>B50+B54</f>
        <v>1036499</v>
      </c>
      <c r="C55" s="10">
        <f>C50+C52</f>
        <v>271850</v>
      </c>
      <c r="D55" s="10">
        <f>D50+D52</f>
        <v>251003</v>
      </c>
      <c r="E55" s="10">
        <f>E50+E52</f>
        <v>257091</v>
      </c>
      <c r="F55" s="10">
        <f>F50+F54</f>
        <v>256655</v>
      </c>
    </row>
    <row r="56" spans="1:6">
      <c r="A56" s="2" t="s">
        <v>35</v>
      </c>
      <c r="B56" s="11">
        <v>13.6</v>
      </c>
      <c r="C56" s="11">
        <v>8.5</v>
      </c>
      <c r="D56" s="11">
        <v>15.1</v>
      </c>
      <c r="E56" s="11">
        <v>26.3</v>
      </c>
      <c r="F56" s="11">
        <v>7.2</v>
      </c>
    </row>
    <row r="58" spans="1:6">
      <c r="A58" s="6" t="s">
        <v>65</v>
      </c>
      <c r="B58" s="62"/>
      <c r="C58" s="190">
        <v>2021</v>
      </c>
      <c r="D58" s="190"/>
      <c r="E58" s="190"/>
      <c r="F58" s="190"/>
    </row>
    <row r="59" spans="1:6">
      <c r="A59" s="7" t="s">
        <v>4</v>
      </c>
      <c r="B59" s="64" t="s">
        <v>0</v>
      </c>
      <c r="C59" s="63" t="s">
        <v>36</v>
      </c>
      <c r="D59" s="63" t="s">
        <v>37</v>
      </c>
      <c r="E59" s="63" t="s">
        <v>42</v>
      </c>
      <c r="F59" s="63" t="s">
        <v>39</v>
      </c>
    </row>
    <row r="60" spans="1:6">
      <c r="A60" s="2" t="s">
        <v>68</v>
      </c>
    </row>
    <row r="61" spans="1:6">
      <c r="A61" s="2" t="s">
        <v>64</v>
      </c>
      <c r="B61" s="10">
        <f>SUM(C61:F61)</f>
        <v>472727</v>
      </c>
      <c r="C61" s="10">
        <v>128227</v>
      </c>
      <c r="D61" s="10">
        <v>115376</v>
      </c>
      <c r="E61" s="10">
        <f>116095-85</f>
        <v>116010</v>
      </c>
      <c r="F61" s="10">
        <v>113114</v>
      </c>
    </row>
    <row r="62" spans="1:6">
      <c r="A62" s="13" t="s">
        <v>29</v>
      </c>
    </row>
    <row r="63" spans="1:6">
      <c r="A63" s="13" t="s">
        <v>30</v>
      </c>
      <c r="B63" s="12">
        <f>SUM(C63:F63)</f>
        <v>1759</v>
      </c>
      <c r="C63" s="12">
        <v>-1616</v>
      </c>
      <c r="D63" s="12">
        <v>265</v>
      </c>
      <c r="E63" s="12">
        <v>300</v>
      </c>
      <c r="F63" s="12">
        <v>2810</v>
      </c>
    </row>
    <row r="64" spans="1:6">
      <c r="A64" s="53" t="s">
        <v>31</v>
      </c>
      <c r="B64" s="181" t="s">
        <v>2</v>
      </c>
      <c r="C64" s="181" t="s">
        <v>2</v>
      </c>
      <c r="D64" s="181" t="s">
        <v>2</v>
      </c>
      <c r="E64" s="181" t="s">
        <v>2</v>
      </c>
      <c r="F64" s="181" t="s">
        <v>2</v>
      </c>
    </row>
    <row r="65" spans="1:6">
      <c r="A65" s="2" t="s">
        <v>33</v>
      </c>
      <c r="B65" s="10">
        <f>SUM(B63:B64)</f>
        <v>1759</v>
      </c>
      <c r="C65" s="10">
        <f>SUM(C63:C64)</f>
        <v>-1616</v>
      </c>
      <c r="D65" s="10">
        <f>SUM(D63:D64)</f>
        <v>265</v>
      </c>
      <c r="E65" s="10">
        <f>SUM(E63:E64)</f>
        <v>300</v>
      </c>
      <c r="F65" s="10">
        <f>SUM(F63:F64)</f>
        <v>2810</v>
      </c>
    </row>
    <row r="66" spans="1:6">
      <c r="A66" s="2" t="s">
        <v>34</v>
      </c>
      <c r="B66" s="10">
        <f>SUM(C66:F66)</f>
        <v>474486</v>
      </c>
      <c r="C66" s="10">
        <f>C61+C65</f>
        <v>126611</v>
      </c>
      <c r="D66" s="10">
        <f>D61+D65</f>
        <v>115641</v>
      </c>
      <c r="E66" s="10">
        <f>E61+E65</f>
        <v>116310</v>
      </c>
      <c r="F66" s="10">
        <f>F61+F65</f>
        <v>115924</v>
      </c>
    </row>
    <row r="67" spans="1:6">
      <c r="A67" s="2" t="s">
        <v>63</v>
      </c>
      <c r="B67" s="11">
        <f>(474486-407694)/407694*100</f>
        <v>16.382875391837995</v>
      </c>
      <c r="C67" s="11">
        <f>(126611-111231)/111231*100</f>
        <v>13.827080580054121</v>
      </c>
      <c r="D67" s="11">
        <f>(115645-97666)/97666*100+0.2</f>
        <v>18.608658079577335</v>
      </c>
      <c r="E67" s="11">
        <f>(116310-84915)/84915*100+0.1</f>
        <v>37.072266384031089</v>
      </c>
      <c r="F67" s="11">
        <f>(115924-113965)/113965*100</f>
        <v>1.7189488000701969</v>
      </c>
    </row>
    <row r="69" spans="1:6">
      <c r="A69" s="2" t="s">
        <v>69</v>
      </c>
    </row>
    <row r="70" spans="1:6">
      <c r="A70" s="2" t="s">
        <v>64</v>
      </c>
      <c r="B70" s="46">
        <f>C70+D70+E70+F70</f>
        <v>527782</v>
      </c>
      <c r="C70" s="10">
        <v>138961</v>
      </c>
      <c r="D70" s="10">
        <f>127394-105</f>
        <v>127289</v>
      </c>
      <c r="E70" s="10">
        <v>132492</v>
      </c>
      <c r="F70" s="10">
        <v>129040</v>
      </c>
    </row>
    <row r="71" spans="1:6">
      <c r="A71" s="13" t="s">
        <v>29</v>
      </c>
    </row>
    <row r="72" spans="1:6">
      <c r="A72" s="13" t="s">
        <v>30</v>
      </c>
      <c r="B72" s="50">
        <f>C72+D72+E72+F72</f>
        <v>2225</v>
      </c>
      <c r="C72" s="12">
        <f>-1751-102</f>
        <v>-1853</v>
      </c>
      <c r="D72" s="12">
        <f>283+27</f>
        <v>310</v>
      </c>
      <c r="E72" s="12">
        <f>342+11</f>
        <v>353</v>
      </c>
      <c r="F72" s="12">
        <f>3205+210</f>
        <v>3415</v>
      </c>
    </row>
    <row r="73" spans="1:6">
      <c r="A73" s="53" t="s">
        <v>31</v>
      </c>
      <c r="B73" s="181" t="s">
        <v>2</v>
      </c>
      <c r="C73" s="181" t="s">
        <v>2</v>
      </c>
      <c r="D73" s="181" t="s">
        <v>2</v>
      </c>
      <c r="E73" s="181" t="s">
        <v>2</v>
      </c>
      <c r="F73" s="181" t="s">
        <v>2</v>
      </c>
    </row>
    <row r="74" spans="1:6">
      <c r="A74" s="2" t="s">
        <v>33</v>
      </c>
      <c r="B74" s="10">
        <f>SUM(B72:B73)</f>
        <v>2225</v>
      </c>
      <c r="C74" s="10">
        <f>SUM(C72:C73)</f>
        <v>-1853</v>
      </c>
      <c r="D74" s="10">
        <f>SUM(D72:D73)</f>
        <v>310</v>
      </c>
      <c r="E74" s="10">
        <f>SUM(E72:E73)</f>
        <v>353</v>
      </c>
      <c r="F74" s="10">
        <f>SUM(F72:F73)</f>
        <v>3415</v>
      </c>
    </row>
    <row r="75" spans="1:6">
      <c r="A75" s="2" t="s">
        <v>34</v>
      </c>
      <c r="B75" s="46">
        <f>C75+D75+E75+F75</f>
        <v>530007</v>
      </c>
      <c r="C75" s="10">
        <f>C70+C74</f>
        <v>137108</v>
      </c>
      <c r="D75" s="10">
        <f>D70+D74</f>
        <v>127599</v>
      </c>
      <c r="E75" s="10">
        <f>E70+E74</f>
        <v>132845</v>
      </c>
      <c r="F75" s="10">
        <f>F70+F74</f>
        <v>132455</v>
      </c>
    </row>
    <row r="76" spans="1:6">
      <c r="A76" s="2" t="s">
        <v>63</v>
      </c>
      <c r="B76" s="11">
        <f>(530007-474950)/474950*100-0.2</f>
        <v>11.392167596589115</v>
      </c>
      <c r="C76" s="11">
        <f>(137108-130095)/130095*100</f>
        <v>5.3906760444290711</v>
      </c>
      <c r="D76" s="11">
        <f>(127599-113508)/113508*100</f>
        <v>12.414102970715721</v>
      </c>
      <c r="E76" s="11">
        <f>(132485-112043)/112043*100+0.4</f>
        <v>18.644781021572076</v>
      </c>
      <c r="F76" s="11">
        <f>(132455-118422)/118422*100+0.4</f>
        <v>12.249994088936178</v>
      </c>
    </row>
    <row r="78" spans="1:6">
      <c r="B78" s="12"/>
      <c r="C78" s="12"/>
      <c r="D78" s="12"/>
      <c r="E78" s="12"/>
      <c r="F78" s="12"/>
    </row>
    <row r="79" spans="1:6">
      <c r="B79" s="12"/>
      <c r="C79" s="12"/>
      <c r="D79" s="12"/>
      <c r="E79" s="12"/>
      <c r="F79" s="12"/>
    </row>
    <row r="80" spans="1:6">
      <c r="B80" s="50"/>
      <c r="C80" s="77"/>
      <c r="D80" s="77"/>
      <c r="F80" s="77"/>
    </row>
    <row r="81" spans="2:2">
      <c r="B81" s="12"/>
    </row>
    <row r="82" spans="2:2">
      <c r="B82" s="12"/>
    </row>
    <row r="83" spans="2:2">
      <c r="B83" s="12"/>
    </row>
  </sheetData>
  <mergeCells count="6">
    <mergeCell ref="C58:F58"/>
    <mergeCell ref="C4:F4"/>
    <mergeCell ref="C23:F23"/>
    <mergeCell ref="C29:F29"/>
    <mergeCell ref="C42:F42"/>
    <mergeCell ref="C48:F4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F4AB-E1CF-4B06-AD8F-C00601C238FA}">
  <dimension ref="A2:J164"/>
  <sheetViews>
    <sheetView zoomScaleNormal="100" workbookViewId="0">
      <selection activeCell="A2" sqref="A2"/>
    </sheetView>
  </sheetViews>
  <sheetFormatPr defaultRowHeight="12.75"/>
  <cols>
    <col min="1" max="1" width="49" customWidth="1"/>
    <col min="2" max="2" width="11" customWidth="1"/>
    <col min="3" max="3" width="12.7109375" customWidth="1"/>
    <col min="4" max="4" width="13" customWidth="1"/>
    <col min="5" max="5" width="12.42578125" customWidth="1"/>
    <col min="6" max="6" width="11.7109375" customWidth="1"/>
  </cols>
  <sheetData>
    <row r="2" spans="1:9">
      <c r="A2" s="184" t="s">
        <v>70</v>
      </c>
    </row>
    <row r="3" spans="1:9">
      <c r="A3" s="1" t="s">
        <v>40</v>
      </c>
    </row>
    <row r="4" spans="1:9">
      <c r="A4" s="65" t="s">
        <v>5</v>
      </c>
      <c r="B4" s="62"/>
      <c r="C4" s="190">
        <v>2020</v>
      </c>
      <c r="D4" s="190"/>
      <c r="E4" s="190"/>
      <c r="F4" s="190"/>
    </row>
    <row r="5" spans="1:9">
      <c r="A5" s="65" t="s">
        <v>4</v>
      </c>
      <c r="B5" s="64" t="s">
        <v>0</v>
      </c>
      <c r="C5" s="63" t="s">
        <v>36</v>
      </c>
      <c r="D5" s="63" t="s">
        <v>37</v>
      </c>
      <c r="E5" s="63" t="s">
        <v>38</v>
      </c>
      <c r="F5" s="63" t="s">
        <v>39</v>
      </c>
    </row>
    <row r="6" spans="1:9">
      <c r="A6" s="8" t="s">
        <v>6</v>
      </c>
      <c r="B6" s="12">
        <v>73816</v>
      </c>
      <c r="C6" s="12">
        <v>27795</v>
      </c>
      <c r="D6" s="12">
        <v>22905</v>
      </c>
      <c r="E6" s="12">
        <v>8293</v>
      </c>
      <c r="F6" s="12">
        <v>14822</v>
      </c>
    </row>
    <row r="7" spans="1:9">
      <c r="A7" s="49" t="s">
        <v>7</v>
      </c>
      <c r="B7" s="56">
        <v>31401</v>
      </c>
      <c r="C7" s="56">
        <v>9305</v>
      </c>
      <c r="D7" s="56">
        <v>7156</v>
      </c>
      <c r="E7" s="56">
        <v>7212</v>
      </c>
      <c r="F7" s="56">
        <v>7728</v>
      </c>
    </row>
    <row r="8" spans="1:9">
      <c r="A8" s="66" t="s">
        <v>5</v>
      </c>
      <c r="B8" s="10">
        <f>SUM(B6:B7)</f>
        <v>105217</v>
      </c>
      <c r="C8" s="10">
        <f>SUM(C6:C7)</f>
        <v>37100</v>
      </c>
      <c r="D8" s="10">
        <f>SUM(D6:D7)</f>
        <v>30061</v>
      </c>
      <c r="E8" s="10">
        <f>SUM(E6:E7)</f>
        <v>15505</v>
      </c>
      <c r="F8" s="10">
        <f>SUM(F6:F7)</f>
        <v>22550</v>
      </c>
    </row>
    <row r="9" spans="1:9">
      <c r="A9" s="57" t="s">
        <v>8</v>
      </c>
      <c r="B9" s="12"/>
      <c r="C9" s="12"/>
      <c r="D9" s="12"/>
      <c r="E9" s="12"/>
      <c r="F9" s="12"/>
      <c r="I9" s="12"/>
    </row>
    <row r="10" spans="1:9">
      <c r="A10" s="8" t="s">
        <v>5</v>
      </c>
      <c r="B10" s="12">
        <f>B8</f>
        <v>105217</v>
      </c>
      <c r="C10" s="12">
        <f>C8</f>
        <v>37100</v>
      </c>
      <c r="D10" s="12">
        <f>D8</f>
        <v>30061</v>
      </c>
      <c r="E10" s="12">
        <v>15505</v>
      </c>
      <c r="F10" s="12">
        <f>F8</f>
        <v>22550</v>
      </c>
    </row>
    <row r="11" spans="1:9">
      <c r="A11" s="49" t="s">
        <v>9</v>
      </c>
      <c r="B11" s="54" t="s">
        <v>2</v>
      </c>
      <c r="C11" s="54" t="s">
        <v>2</v>
      </c>
      <c r="D11" s="54" t="s">
        <v>2</v>
      </c>
      <c r="E11" s="54" t="s">
        <v>2</v>
      </c>
      <c r="F11" s="54" t="s">
        <v>2</v>
      </c>
    </row>
    <row r="12" spans="1:9">
      <c r="A12" s="57" t="s">
        <v>8</v>
      </c>
      <c r="B12" s="10">
        <f>SUM(B10:B11)</f>
        <v>105217</v>
      </c>
      <c r="C12" s="10">
        <f>SUM(C10:C11)</f>
        <v>37100</v>
      </c>
      <c r="D12" s="10">
        <f>SUM(D10:D11)</f>
        <v>30061</v>
      </c>
      <c r="E12" s="10">
        <f>SUM(E10:E11)</f>
        <v>15505</v>
      </c>
      <c r="F12" s="10">
        <f>SUM(F10:F11)</f>
        <v>22550</v>
      </c>
    </row>
    <row r="13" spans="1:9">
      <c r="A13" s="57" t="s">
        <v>10</v>
      </c>
      <c r="B13" s="12"/>
      <c r="C13" s="12"/>
      <c r="D13" s="12"/>
      <c r="E13" s="12"/>
      <c r="F13" s="12"/>
    </row>
    <row r="14" spans="1:9">
      <c r="A14" s="8" t="s">
        <v>6</v>
      </c>
      <c r="B14" s="12">
        <v>73816</v>
      </c>
      <c r="C14" s="12">
        <v>27795</v>
      </c>
      <c r="D14" s="12">
        <v>22905</v>
      </c>
      <c r="E14" s="12">
        <v>8293</v>
      </c>
      <c r="F14" s="12">
        <v>14822</v>
      </c>
    </row>
    <row r="15" spans="1:9">
      <c r="A15" s="49" t="s">
        <v>11</v>
      </c>
      <c r="B15" s="56">
        <v>2833</v>
      </c>
      <c r="C15" s="56">
        <v>708</v>
      </c>
      <c r="D15" s="56">
        <v>708</v>
      </c>
      <c r="E15" s="56">
        <v>1416</v>
      </c>
      <c r="F15" s="54" t="s">
        <v>2</v>
      </c>
    </row>
    <row r="16" spans="1:9">
      <c r="A16" s="57" t="s">
        <v>10</v>
      </c>
      <c r="B16" s="12">
        <f>SUM(B14:B15)</f>
        <v>76649</v>
      </c>
      <c r="C16" s="12">
        <f>SUM(C14:C15)</f>
        <v>28503</v>
      </c>
      <c r="D16" s="12">
        <f>SUM(D14:D15)</f>
        <v>23613</v>
      </c>
      <c r="E16" s="12">
        <f>SUM(E14:E15)</f>
        <v>9709</v>
      </c>
      <c r="F16" s="12">
        <f>SUM(F14:F15)</f>
        <v>14822</v>
      </c>
    </row>
    <row r="17" spans="1:10">
      <c r="A17" s="13" t="s">
        <v>12</v>
      </c>
      <c r="B17" s="12"/>
      <c r="C17" s="12"/>
      <c r="D17" s="11"/>
      <c r="E17" s="11"/>
      <c r="F17" s="11"/>
    </row>
    <row r="18" spans="1:10">
      <c r="A18" s="2" t="s">
        <v>10</v>
      </c>
      <c r="B18" s="12">
        <f>B16</f>
        <v>76649</v>
      </c>
      <c r="C18" s="12">
        <f>C16</f>
        <v>28503</v>
      </c>
      <c r="D18" s="12">
        <f>D16</f>
        <v>23613</v>
      </c>
      <c r="E18" s="12">
        <f>E16</f>
        <v>9709</v>
      </c>
      <c r="F18" s="12">
        <f>F16</f>
        <v>14822</v>
      </c>
    </row>
    <row r="19" spans="1:10">
      <c r="A19" s="53" t="s">
        <v>9</v>
      </c>
      <c r="B19" s="54" t="s">
        <v>2</v>
      </c>
      <c r="C19" s="54" t="s">
        <v>2</v>
      </c>
      <c r="D19" s="54" t="s">
        <v>2</v>
      </c>
      <c r="E19" s="54" t="s">
        <v>2</v>
      </c>
      <c r="F19" s="54" t="s">
        <v>2</v>
      </c>
    </row>
    <row r="20" spans="1:10">
      <c r="A20" s="2" t="s">
        <v>12</v>
      </c>
      <c r="B20" s="12">
        <f>SUM(B18:B19)</f>
        <v>76649</v>
      </c>
      <c r="C20" s="12">
        <f>SUM(C18:C19)</f>
        <v>28503</v>
      </c>
      <c r="D20" s="12">
        <f>SUM(D18:D19)</f>
        <v>23613</v>
      </c>
      <c r="E20" s="12">
        <f>SUM(E18:E19)</f>
        <v>9709</v>
      </c>
      <c r="F20" s="12">
        <f>SUM(F18:F19)</f>
        <v>14822</v>
      </c>
    </row>
    <row r="21" spans="1:10">
      <c r="A21" s="11"/>
      <c r="B21" s="11"/>
      <c r="C21" s="11"/>
      <c r="D21" s="11"/>
      <c r="E21" s="11"/>
      <c r="F21" s="11"/>
    </row>
    <row r="22" spans="1:10">
      <c r="A22" s="1" t="s">
        <v>41</v>
      </c>
      <c r="B22" s="1"/>
      <c r="C22" s="1"/>
      <c r="D22" s="1"/>
      <c r="E22" s="1"/>
      <c r="F22" s="1"/>
    </row>
    <row r="23" spans="1:10">
      <c r="A23" s="65" t="s">
        <v>13</v>
      </c>
      <c r="B23" s="62"/>
      <c r="C23" s="190">
        <v>2020</v>
      </c>
      <c r="D23" s="190"/>
      <c r="E23" s="190"/>
      <c r="F23" s="190"/>
    </row>
    <row r="24" spans="1:10">
      <c r="A24" s="65" t="s">
        <v>4</v>
      </c>
      <c r="B24" s="64" t="s">
        <v>0</v>
      </c>
      <c r="C24" s="63" t="s">
        <v>36</v>
      </c>
      <c r="D24" s="63" t="s">
        <v>37</v>
      </c>
      <c r="E24" s="63" t="s">
        <v>38</v>
      </c>
      <c r="F24" s="63" t="s">
        <v>39</v>
      </c>
    </row>
    <row r="25" spans="1:10">
      <c r="A25" s="13" t="s">
        <v>1</v>
      </c>
      <c r="B25" s="12">
        <v>614715</v>
      </c>
      <c r="C25" s="12">
        <v>614715</v>
      </c>
      <c r="D25" s="12">
        <v>605985</v>
      </c>
      <c r="E25" s="12">
        <v>593451</v>
      </c>
      <c r="F25" s="12">
        <v>600235</v>
      </c>
    </row>
    <row r="26" spans="1:10">
      <c r="A26" s="53" t="s">
        <v>14</v>
      </c>
      <c r="B26" s="56">
        <v>1082966</v>
      </c>
      <c r="C26" s="56">
        <v>1082966</v>
      </c>
      <c r="D26" s="56">
        <v>1048325</v>
      </c>
      <c r="E26" s="56">
        <v>1031867</v>
      </c>
      <c r="F26" s="56">
        <v>1043059</v>
      </c>
    </row>
    <row r="27" spans="1:10">
      <c r="A27" s="9" t="s">
        <v>15</v>
      </c>
      <c r="B27" s="61">
        <f>B25/B26</f>
        <v>0.56762169818812414</v>
      </c>
      <c r="C27" s="61">
        <f>C25/C26</f>
        <v>0.56762169818812414</v>
      </c>
      <c r="D27" s="61">
        <f>D25/D26</f>
        <v>0.5780506999260725</v>
      </c>
      <c r="E27" s="61">
        <f>E25/E26</f>
        <v>0.57512353820792794</v>
      </c>
      <c r="F27" s="61">
        <f>F25/F26</f>
        <v>0.57545642192819391</v>
      </c>
    </row>
    <row r="28" spans="1:10">
      <c r="A28" s="5"/>
      <c r="B28" s="4"/>
      <c r="C28" s="4"/>
      <c r="D28" s="4"/>
      <c r="E28" s="4"/>
      <c r="F28" s="4"/>
    </row>
    <row r="29" spans="1:10">
      <c r="A29" s="65" t="s">
        <v>3</v>
      </c>
      <c r="B29" s="62"/>
      <c r="C29" s="190">
        <v>2020</v>
      </c>
      <c r="D29" s="190"/>
      <c r="E29" s="190"/>
      <c r="F29" s="190"/>
    </row>
    <row r="30" spans="1:10">
      <c r="A30" s="65" t="s">
        <v>4</v>
      </c>
      <c r="B30" s="64" t="s">
        <v>0</v>
      </c>
      <c r="C30" s="63" t="s">
        <v>36</v>
      </c>
      <c r="D30" s="63" t="s">
        <v>37</v>
      </c>
      <c r="E30" s="63" t="s">
        <v>42</v>
      </c>
      <c r="F30" s="63" t="s">
        <v>39</v>
      </c>
    </row>
    <row r="31" spans="1:10">
      <c r="A31" s="8" t="s">
        <v>16</v>
      </c>
      <c r="B31" s="12">
        <v>23196</v>
      </c>
      <c r="C31" s="12">
        <v>23196</v>
      </c>
      <c r="D31" s="12">
        <f>3330</f>
        <v>3330</v>
      </c>
      <c r="E31" s="12">
        <v>3330</v>
      </c>
      <c r="F31" s="12">
        <v>10019</v>
      </c>
    </row>
    <row r="32" spans="1:10">
      <c r="A32" s="8" t="s">
        <v>17</v>
      </c>
      <c r="B32" s="12">
        <v>140000</v>
      </c>
      <c r="C32" s="12">
        <v>140000</v>
      </c>
      <c r="D32" s="12">
        <f>153320-562</f>
        <v>152758</v>
      </c>
      <c r="E32" s="12">
        <v>169373</v>
      </c>
      <c r="F32" s="12">
        <f>177435-803</f>
        <v>176632</v>
      </c>
      <c r="J32" s="55"/>
    </row>
    <row r="33" spans="1:6">
      <c r="A33" s="8" t="s">
        <v>18</v>
      </c>
      <c r="B33" s="12">
        <v>88258</v>
      </c>
      <c r="C33" s="12">
        <v>88258</v>
      </c>
      <c r="D33" s="12">
        <v>76158</v>
      </c>
      <c r="E33" s="12">
        <v>68026</v>
      </c>
      <c r="F33" s="12">
        <v>74151</v>
      </c>
    </row>
    <row r="34" spans="1:6">
      <c r="A34" s="8" t="s">
        <v>19</v>
      </c>
      <c r="B34" s="50" t="s">
        <v>2</v>
      </c>
      <c r="C34" s="50" t="s">
        <v>2</v>
      </c>
      <c r="D34" s="50" t="s">
        <v>2</v>
      </c>
      <c r="E34" s="12">
        <v>2668</v>
      </c>
      <c r="F34" s="12">
        <v>2668</v>
      </c>
    </row>
    <row r="35" spans="1:6">
      <c r="A35" s="49" t="s">
        <v>20</v>
      </c>
      <c r="B35" s="59">
        <v>-87230</v>
      </c>
      <c r="C35" s="58">
        <v>-87230</v>
      </c>
      <c r="D35" s="56">
        <v>-54257</v>
      </c>
      <c r="E35" s="56">
        <v>-57693</v>
      </c>
      <c r="F35" s="56">
        <v>-52583</v>
      </c>
    </row>
    <row r="36" spans="1:6">
      <c r="A36" s="2" t="s">
        <v>21</v>
      </c>
      <c r="B36" s="12">
        <f>SUM(B31:B35)</f>
        <v>164224</v>
      </c>
      <c r="C36" s="10">
        <f>SUM(C31:C35)</f>
        <v>164224</v>
      </c>
      <c r="D36" s="10">
        <f>SUM(D31:D35)</f>
        <v>177989</v>
      </c>
      <c r="E36" s="10">
        <f>SUM(E31:E35)</f>
        <v>185704</v>
      </c>
      <c r="F36" s="10">
        <f>SUM(F31:F35)</f>
        <v>210887</v>
      </c>
    </row>
    <row r="37" spans="1:6">
      <c r="A37" s="13" t="s">
        <v>22</v>
      </c>
      <c r="B37" s="12"/>
      <c r="C37" s="11"/>
      <c r="D37" s="11"/>
      <c r="E37" s="52"/>
      <c r="F37" s="11"/>
    </row>
    <row r="38" spans="1:6">
      <c r="A38" s="2" t="s">
        <v>21</v>
      </c>
      <c r="B38" s="12">
        <f>B36</f>
        <v>164224</v>
      </c>
      <c r="C38" s="12">
        <f>C36</f>
        <v>164224</v>
      </c>
      <c r="D38" s="12">
        <f>D36</f>
        <v>177989</v>
      </c>
      <c r="E38" s="12">
        <f>E36</f>
        <v>185704</v>
      </c>
      <c r="F38" s="12">
        <f>F36</f>
        <v>210887</v>
      </c>
    </row>
    <row r="39" spans="1:6">
      <c r="A39" s="13" t="s">
        <v>23</v>
      </c>
      <c r="B39" s="12">
        <v>105217</v>
      </c>
      <c r="C39" s="12">
        <v>105217</v>
      </c>
      <c r="D39" s="12">
        <v>98123</v>
      </c>
      <c r="E39" s="12">
        <v>98511</v>
      </c>
      <c r="F39" s="12">
        <v>117256</v>
      </c>
    </row>
    <row r="40" spans="1:6">
      <c r="A40" s="13" t="s">
        <v>43</v>
      </c>
      <c r="B40" s="60">
        <f>B38/B39</f>
        <v>1.5608124162445232</v>
      </c>
      <c r="C40" s="60">
        <f>C38/C39</f>
        <v>1.5608124162445232</v>
      </c>
      <c r="D40" s="60">
        <f>D38/D39</f>
        <v>1.8139376089194175</v>
      </c>
      <c r="E40" s="60">
        <f>E38/E39</f>
        <v>1.8851092771365634</v>
      </c>
      <c r="F40" s="60">
        <f>F38/F39</f>
        <v>1.7985177730777102</v>
      </c>
    </row>
    <row r="41" spans="1:6">
      <c r="A41" s="5"/>
      <c r="B41" s="1"/>
      <c r="C41" s="1"/>
      <c r="D41" s="1"/>
      <c r="E41" s="1"/>
      <c r="F41" s="1"/>
    </row>
    <row r="42" spans="1:6">
      <c r="A42" s="65" t="s">
        <v>24</v>
      </c>
      <c r="B42" s="62"/>
      <c r="C42" s="190">
        <v>2020</v>
      </c>
      <c r="D42" s="190"/>
      <c r="E42" s="190"/>
      <c r="F42" s="190"/>
    </row>
    <row r="43" spans="1:6">
      <c r="A43" s="65" t="s">
        <v>4</v>
      </c>
      <c r="B43" s="64" t="s">
        <v>0</v>
      </c>
      <c r="C43" s="63" t="s">
        <v>36</v>
      </c>
      <c r="D43" s="63" t="s">
        <v>37</v>
      </c>
      <c r="E43" s="63" t="s">
        <v>42</v>
      </c>
      <c r="F43" s="63" t="s">
        <v>39</v>
      </c>
    </row>
    <row r="44" spans="1:6">
      <c r="A44" s="2" t="s">
        <v>5</v>
      </c>
      <c r="B44" s="1"/>
      <c r="C44" s="1"/>
      <c r="D44" s="1"/>
      <c r="E44" s="1"/>
      <c r="F44" s="1"/>
    </row>
    <row r="45" spans="1:6">
      <c r="A45" s="53" t="s">
        <v>25</v>
      </c>
      <c r="B45" s="54" t="s">
        <v>2</v>
      </c>
      <c r="C45" s="54" t="s">
        <v>2</v>
      </c>
      <c r="D45" s="54" t="s">
        <v>2</v>
      </c>
      <c r="E45" s="54" t="s">
        <v>2</v>
      </c>
      <c r="F45" s="54" t="s">
        <v>2</v>
      </c>
    </row>
    <row r="46" spans="1:6">
      <c r="A46" s="2" t="s">
        <v>26</v>
      </c>
      <c r="B46" s="50" t="s">
        <v>2</v>
      </c>
      <c r="C46" s="50" t="s">
        <v>2</v>
      </c>
      <c r="D46" s="50" t="s">
        <v>2</v>
      </c>
      <c r="E46" s="50" t="s">
        <v>2</v>
      </c>
      <c r="F46" s="50" t="s">
        <v>2</v>
      </c>
    </row>
    <row r="47" spans="1:6">
      <c r="A47" s="2"/>
      <c r="B47" s="3"/>
      <c r="C47" s="3"/>
      <c r="D47" s="3"/>
      <c r="E47" s="3"/>
      <c r="F47" s="3"/>
    </row>
    <row r="48" spans="1:6">
      <c r="A48" s="6" t="s">
        <v>27</v>
      </c>
      <c r="B48" s="62"/>
      <c r="C48" s="190">
        <v>2020</v>
      </c>
      <c r="D48" s="190"/>
      <c r="E48" s="190"/>
      <c r="F48" s="190"/>
    </row>
    <row r="49" spans="1:6">
      <c r="A49" s="7" t="s">
        <v>4</v>
      </c>
      <c r="B49" s="64" t="s">
        <v>0</v>
      </c>
      <c r="C49" s="63" t="s">
        <v>36</v>
      </c>
      <c r="D49" s="63" t="s">
        <v>37</v>
      </c>
      <c r="E49" s="63" t="s">
        <v>42</v>
      </c>
      <c r="F49" s="63" t="s">
        <v>39</v>
      </c>
    </row>
    <row r="50" spans="1:6">
      <c r="A50" s="2" t="s">
        <v>28</v>
      </c>
      <c r="B50" s="12">
        <v>912395</v>
      </c>
      <c r="C50" s="12">
        <v>251276</v>
      </c>
      <c r="D50" s="12">
        <v>218135</v>
      </c>
      <c r="E50" s="12">
        <v>203501</v>
      </c>
      <c r="F50" s="12">
        <v>239483</v>
      </c>
    </row>
    <row r="51" spans="1:6">
      <c r="A51" s="13" t="s">
        <v>29</v>
      </c>
      <c r="B51" s="12"/>
      <c r="C51" s="12"/>
      <c r="D51" s="12"/>
      <c r="E51" s="12"/>
      <c r="F51" s="12"/>
    </row>
    <row r="52" spans="1:6">
      <c r="A52" s="13" t="s">
        <v>30</v>
      </c>
      <c r="B52" s="12">
        <v>27559</v>
      </c>
      <c r="C52" s="12">
        <v>9492</v>
      </c>
      <c r="D52" s="12">
        <v>8614</v>
      </c>
      <c r="E52" s="12">
        <v>6191</v>
      </c>
      <c r="F52" s="12">
        <v>3262</v>
      </c>
    </row>
    <row r="53" spans="1:6">
      <c r="A53" s="13" t="s">
        <v>31</v>
      </c>
      <c r="B53" s="12">
        <v>-133881</v>
      </c>
      <c r="C53" s="12">
        <v>-34212</v>
      </c>
      <c r="D53" s="12">
        <v>-29961</v>
      </c>
      <c r="E53" s="12">
        <v>-32993</v>
      </c>
      <c r="F53" s="12">
        <v>-34743</v>
      </c>
    </row>
    <row r="54" spans="1:6">
      <c r="A54" s="53" t="s">
        <v>32</v>
      </c>
      <c r="B54" s="56">
        <v>-1972</v>
      </c>
      <c r="C54" s="56"/>
      <c r="D54" s="56"/>
      <c r="E54" s="56"/>
      <c r="F54" s="56">
        <v>-1972</v>
      </c>
    </row>
    <row r="55" spans="1:6">
      <c r="A55" s="2" t="s">
        <v>33</v>
      </c>
      <c r="B55" s="10">
        <v>-108294</v>
      </c>
      <c r="C55" s="10">
        <v>-24720</v>
      </c>
      <c r="D55" s="10">
        <v>-21347</v>
      </c>
      <c r="E55" s="10">
        <v>-26802</v>
      </c>
      <c r="F55" s="10">
        <v>-33453</v>
      </c>
    </row>
    <row r="56" spans="1:6">
      <c r="A56" s="2" t="s">
        <v>34</v>
      </c>
      <c r="B56" s="10">
        <v>804101</v>
      </c>
      <c r="C56" s="10">
        <v>226556</v>
      </c>
      <c r="D56" s="10">
        <v>196788</v>
      </c>
      <c r="E56" s="10">
        <v>176699</v>
      </c>
      <c r="F56" s="10">
        <v>206030</v>
      </c>
    </row>
    <row r="57" spans="1:6">
      <c r="A57" s="2" t="s">
        <v>35</v>
      </c>
      <c r="B57" s="11">
        <v>-7</v>
      </c>
      <c r="C57" s="11">
        <v>3.9</v>
      </c>
      <c r="D57" s="11">
        <v>-8.5</v>
      </c>
      <c r="E57" s="11">
        <v>-19.5</v>
      </c>
      <c r="F57" s="11">
        <v>-2.7</v>
      </c>
    </row>
    <row r="58" spans="1:6">
      <c r="A58" s="2"/>
    </row>
    <row r="59" spans="1:6">
      <c r="A59" s="6" t="s">
        <v>65</v>
      </c>
      <c r="B59" s="62"/>
      <c r="C59" s="190">
        <v>2020</v>
      </c>
      <c r="D59" s="190"/>
      <c r="E59" s="190"/>
      <c r="F59" s="190"/>
    </row>
    <row r="60" spans="1:6">
      <c r="A60" s="7" t="s">
        <v>4</v>
      </c>
      <c r="B60" s="64" t="s">
        <v>0</v>
      </c>
      <c r="C60" s="63" t="s">
        <v>36</v>
      </c>
      <c r="D60" s="63" t="s">
        <v>37</v>
      </c>
      <c r="E60" s="63" t="s">
        <v>42</v>
      </c>
      <c r="F60" s="63" t="s">
        <v>39</v>
      </c>
    </row>
    <row r="61" spans="1:6">
      <c r="A61" s="2" t="s">
        <v>66</v>
      </c>
    </row>
    <row r="62" spans="1:6">
      <c r="A62" s="2" t="s">
        <v>64</v>
      </c>
      <c r="B62" s="10">
        <f>SUM(C62:F62)</f>
        <v>342583</v>
      </c>
      <c r="C62" s="10">
        <v>92384</v>
      </c>
      <c r="D62" s="10">
        <v>81063</v>
      </c>
      <c r="E62" s="10">
        <v>74278</v>
      </c>
      <c r="F62" s="10">
        <v>94858</v>
      </c>
    </row>
    <row r="63" spans="1:6">
      <c r="A63" s="13" t="s">
        <v>29</v>
      </c>
    </row>
    <row r="64" spans="1:6">
      <c r="A64" s="13" t="s">
        <v>30</v>
      </c>
      <c r="B64" s="12">
        <f>SUM(C64:F64)</f>
        <v>10736</v>
      </c>
      <c r="C64" s="12">
        <v>3498</v>
      </c>
      <c r="D64" s="12">
        <v>3121</v>
      </c>
      <c r="E64" s="12">
        <v>2252</v>
      </c>
      <c r="F64" s="12">
        <v>1865</v>
      </c>
    </row>
    <row r="65" spans="1:6">
      <c r="A65" s="53" t="s">
        <v>31</v>
      </c>
      <c r="B65" s="183">
        <f>SUM(C65:F65)</f>
        <v>-13663</v>
      </c>
      <c r="C65" s="183">
        <v>-3421</v>
      </c>
      <c r="D65" s="183">
        <v>-3271</v>
      </c>
      <c r="E65" s="183">
        <v>-3300</v>
      </c>
      <c r="F65" s="183">
        <v>-3671</v>
      </c>
    </row>
    <row r="66" spans="1:6">
      <c r="A66" s="2" t="s">
        <v>33</v>
      </c>
      <c r="B66" s="10">
        <f>SUM(B64:B65)</f>
        <v>-2927</v>
      </c>
      <c r="C66" s="10">
        <f>SUM(C64:C65)</f>
        <v>77</v>
      </c>
      <c r="D66" s="10">
        <f>SUM(D64:D65)</f>
        <v>-150</v>
      </c>
      <c r="E66" s="10">
        <f>SUM(E64:E65)</f>
        <v>-1048</v>
      </c>
      <c r="F66" s="10">
        <f>SUM(F64:F65)</f>
        <v>-1806</v>
      </c>
    </row>
    <row r="67" spans="1:6">
      <c r="A67" s="2" t="s">
        <v>34</v>
      </c>
      <c r="B67" s="10">
        <f>SUM(C67:F67)</f>
        <v>339656</v>
      </c>
      <c r="C67" s="10">
        <f>C62+C66</f>
        <v>92461</v>
      </c>
      <c r="D67" s="10">
        <f>D62+D66</f>
        <v>80913</v>
      </c>
      <c r="E67" s="10">
        <f>E62+E66</f>
        <v>73230</v>
      </c>
      <c r="F67" s="10">
        <f>F62+F66</f>
        <v>93052</v>
      </c>
    </row>
    <row r="68" spans="1:6">
      <c r="A68" s="2" t="s">
        <v>63</v>
      </c>
      <c r="B68" s="11">
        <f>(474486-407694)/407694*100</f>
        <v>16.382875391837995</v>
      </c>
      <c r="C68" s="11">
        <f>(92461-104054)/104054*100</f>
        <v>-11.141330463028812</v>
      </c>
      <c r="D68" s="11">
        <f>(80913-104738)/104738*100</f>
        <v>-22.747235960205465</v>
      </c>
      <c r="E68" s="11">
        <f>(73230-112481)/112481*100+0.2</f>
        <v>-34.695671268925416</v>
      </c>
      <c r="F68" s="11">
        <f>(93052-102481)/102481*100</f>
        <v>-9.2007298913945021</v>
      </c>
    </row>
    <row r="70" spans="1:6">
      <c r="A70" s="2" t="s">
        <v>67</v>
      </c>
    </row>
    <row r="71" spans="1:6">
      <c r="A71" s="2" t="s">
        <v>64</v>
      </c>
      <c r="B71" s="46">
        <f>C71+D71+E71+F71</f>
        <v>540055</v>
      </c>
      <c r="C71" s="10">
        <v>149717</v>
      </c>
      <c r="D71" s="10">
        <v>130161</v>
      </c>
      <c r="E71" s="10">
        <v>122681</v>
      </c>
      <c r="F71" s="10">
        <v>137496</v>
      </c>
    </row>
    <row r="72" spans="1:6">
      <c r="A72" s="13" t="s">
        <v>29</v>
      </c>
    </row>
    <row r="73" spans="1:6">
      <c r="A73" s="13" t="s">
        <v>30</v>
      </c>
      <c r="B73" s="50">
        <f>C73+D73+E73+F73</f>
        <v>16819</v>
      </c>
      <c r="C73" s="12">
        <f>5646+348</f>
        <v>5994</v>
      </c>
      <c r="D73" s="12">
        <f>5010+483</f>
        <v>5493</v>
      </c>
      <c r="E73" s="12">
        <f>3740+199</f>
        <v>3939</v>
      </c>
      <c r="F73" s="50">
        <v>1393</v>
      </c>
    </row>
    <row r="74" spans="1:6">
      <c r="A74" s="53" t="s">
        <v>31</v>
      </c>
      <c r="B74" s="183">
        <f>SUM(C74:F74)</f>
        <v>-120218</v>
      </c>
      <c r="C74" s="183">
        <v>-30791</v>
      </c>
      <c r="D74" s="183">
        <f>-29441+2751</f>
        <v>-26690</v>
      </c>
      <c r="E74" s="183">
        <v>-29693</v>
      </c>
      <c r="F74" s="183">
        <v>-33044</v>
      </c>
    </row>
    <row r="75" spans="1:6">
      <c r="A75" s="2" t="s">
        <v>33</v>
      </c>
      <c r="B75" s="10">
        <f>SUM(B73:B74)</f>
        <v>-103399</v>
      </c>
      <c r="C75" s="10">
        <f>SUM(C73:C74)</f>
        <v>-24797</v>
      </c>
      <c r="D75" s="10">
        <f>SUM(D73:D74)</f>
        <v>-21197</v>
      </c>
      <c r="E75" s="10">
        <f>SUM(E73:E74)</f>
        <v>-25754</v>
      </c>
      <c r="F75" s="10">
        <f>SUM(F73:F74)</f>
        <v>-31651</v>
      </c>
    </row>
    <row r="76" spans="1:6">
      <c r="A76" s="2" t="s">
        <v>34</v>
      </c>
      <c r="B76" s="46">
        <f>C76+D76+E76+F76</f>
        <v>436656</v>
      </c>
      <c r="C76" s="10">
        <f>C71+C75</f>
        <v>124920</v>
      </c>
      <c r="D76" s="10">
        <f>D71+D75</f>
        <v>108964</v>
      </c>
      <c r="E76" s="10">
        <f>E71+E75</f>
        <v>96927</v>
      </c>
      <c r="F76" s="10">
        <f>F71+F75</f>
        <v>105845</v>
      </c>
    </row>
    <row r="77" spans="1:6">
      <c r="A77" s="2" t="s">
        <v>63</v>
      </c>
      <c r="B77" s="11">
        <f>(530007-474950)/474950*100-0.2</f>
        <v>11.392167596589115</v>
      </c>
      <c r="C77" s="11">
        <f>(124920-106731)/106731*100-0.1</f>
        <v>16.941909098574921</v>
      </c>
      <c r="D77" s="11">
        <f>(108964-106367)/106367*100-0.1</f>
        <v>2.3415467203173916</v>
      </c>
      <c r="E77" s="11">
        <f>(96927-100594)/100594*100+0.7</f>
        <v>-2.9453466409527413</v>
      </c>
      <c r="F77" s="11">
        <f>(105485-104345)/104345*100+0.4</f>
        <v>1.4925295893430448</v>
      </c>
    </row>
    <row r="79" spans="1:6">
      <c r="B79" s="12"/>
      <c r="C79" s="12"/>
      <c r="D79" s="12"/>
      <c r="E79" s="12"/>
    </row>
    <row r="80" spans="1:6">
      <c r="B80" s="12"/>
      <c r="C80" s="12"/>
      <c r="D80" s="12"/>
      <c r="E80" s="12"/>
    </row>
    <row r="81" spans="2:5">
      <c r="B81" s="12"/>
      <c r="C81" s="12"/>
      <c r="D81" s="12"/>
      <c r="E81" s="12"/>
    </row>
    <row r="82" spans="2:5">
      <c r="B82" s="12"/>
      <c r="C82" s="12"/>
      <c r="D82" s="12"/>
      <c r="E82" s="12"/>
    </row>
    <row r="83" spans="2:5">
      <c r="B83" s="12"/>
      <c r="C83" s="12"/>
      <c r="D83" s="12"/>
      <c r="E83" s="12"/>
    </row>
    <row r="84" spans="2:5">
      <c r="B84" s="12"/>
      <c r="C84" s="12"/>
      <c r="D84" s="12"/>
      <c r="E84" s="12"/>
    </row>
    <row r="85" spans="2:5">
      <c r="B85" s="12"/>
      <c r="C85" s="12"/>
      <c r="D85" s="12"/>
      <c r="E85" s="12"/>
    </row>
    <row r="100" spans="1:6">
      <c r="A100" s="22"/>
      <c r="B100" s="35"/>
      <c r="C100" s="19"/>
      <c r="D100" s="19"/>
      <c r="E100" s="19"/>
      <c r="F100" s="19"/>
    </row>
    <row r="101" spans="1:6">
      <c r="A101" s="32"/>
      <c r="B101" s="24"/>
      <c r="C101" s="24"/>
      <c r="D101" s="24"/>
      <c r="E101" s="24"/>
      <c r="F101" s="24"/>
    </row>
    <row r="102" spans="1:6">
      <c r="A102" s="26"/>
      <c r="B102" s="33"/>
      <c r="C102" s="33"/>
      <c r="D102" s="33"/>
      <c r="E102" s="33"/>
      <c r="F102" s="33"/>
    </row>
    <row r="103" spans="1:6">
      <c r="A103" s="21"/>
      <c r="B103" s="28"/>
      <c r="C103" s="28"/>
      <c r="D103" s="28"/>
      <c r="E103" s="28"/>
      <c r="F103" s="28"/>
    </row>
    <row r="104" spans="1:6">
      <c r="A104" s="2"/>
      <c r="B104" s="31"/>
      <c r="C104" s="31"/>
      <c r="D104" s="31"/>
      <c r="E104" s="31"/>
      <c r="F104" s="31"/>
    </row>
    <row r="105" spans="1:6">
      <c r="A105" s="2"/>
      <c r="B105" s="11"/>
      <c r="C105" s="11"/>
      <c r="D105" s="11"/>
      <c r="E105" s="11"/>
      <c r="F105" s="11"/>
    </row>
    <row r="106" spans="1:6">
      <c r="A106" s="14"/>
      <c r="B106" s="15"/>
      <c r="C106" s="191"/>
      <c r="D106" s="191"/>
      <c r="E106" s="191"/>
      <c r="F106" s="191"/>
    </row>
    <row r="107" spans="1:6">
      <c r="A107" s="16"/>
      <c r="B107" s="17"/>
      <c r="C107" s="17"/>
      <c r="D107" s="17"/>
      <c r="E107" s="17"/>
      <c r="F107" s="17"/>
    </row>
    <row r="108" spans="1:6">
      <c r="A108" s="18"/>
      <c r="B108" s="20"/>
      <c r="C108" s="20"/>
      <c r="D108" s="20"/>
      <c r="E108" s="20"/>
      <c r="F108" s="20"/>
    </row>
    <row r="109" spans="1:6">
      <c r="A109" s="26"/>
      <c r="B109" s="33"/>
      <c r="C109" s="33"/>
      <c r="D109" s="33"/>
      <c r="E109" s="33"/>
      <c r="F109" s="33"/>
    </row>
    <row r="110" spans="1:6">
      <c r="A110" s="21"/>
      <c r="B110" s="28"/>
      <c r="C110" s="28"/>
      <c r="D110" s="28"/>
      <c r="E110" s="28"/>
      <c r="F110" s="28"/>
    </row>
    <row r="111" spans="1:6">
      <c r="A111" s="2"/>
      <c r="B111" s="36"/>
      <c r="C111" s="36"/>
      <c r="D111" s="36"/>
      <c r="E111" s="36"/>
      <c r="F111" s="36"/>
    </row>
    <row r="112" spans="1:6">
      <c r="A112" s="2"/>
      <c r="B112" s="11"/>
      <c r="C112" s="11"/>
      <c r="D112" s="11"/>
      <c r="E112" s="11"/>
      <c r="F112" s="11"/>
    </row>
    <row r="113" spans="1:6">
      <c r="A113" s="14"/>
      <c r="B113" s="15"/>
      <c r="C113" s="191"/>
      <c r="D113" s="191"/>
      <c r="E113" s="191"/>
      <c r="F113" s="191"/>
    </row>
    <row r="114" spans="1:6">
      <c r="A114" s="16"/>
      <c r="B114" s="17"/>
      <c r="C114" s="17"/>
      <c r="D114" s="17"/>
      <c r="E114" s="17"/>
      <c r="F114" s="17"/>
    </row>
    <row r="115" spans="1:6">
      <c r="A115" s="18"/>
      <c r="B115" s="34"/>
      <c r="C115" s="33"/>
      <c r="D115" s="33"/>
      <c r="E115" s="33"/>
      <c r="F115" s="33"/>
    </row>
    <row r="116" spans="1:6">
      <c r="A116" s="29"/>
      <c r="B116" s="19"/>
      <c r="C116" s="30"/>
      <c r="D116" s="30"/>
      <c r="E116" s="30"/>
      <c r="F116" s="30"/>
    </row>
    <row r="117" spans="1:6">
      <c r="A117" s="37"/>
      <c r="B117" s="38"/>
      <c r="C117" s="39"/>
      <c r="D117" s="39"/>
      <c r="E117" s="39"/>
      <c r="F117" s="39"/>
    </row>
    <row r="118" spans="1:6">
      <c r="A118" s="40"/>
      <c r="B118" s="41"/>
      <c r="C118" s="42"/>
      <c r="D118" s="42"/>
      <c r="E118" s="42"/>
      <c r="F118" s="42"/>
    </row>
    <row r="119" spans="1:6">
      <c r="A119" s="26"/>
      <c r="B119" s="33"/>
      <c r="C119" s="33"/>
      <c r="D119" s="33"/>
      <c r="E119" s="20"/>
      <c r="F119" s="20"/>
    </row>
    <row r="120" spans="1:6">
      <c r="A120" s="26"/>
      <c r="B120" s="33"/>
      <c r="C120" s="33"/>
      <c r="D120" s="20"/>
      <c r="E120" s="20"/>
      <c r="F120" s="20"/>
    </row>
    <row r="121" spans="1:6">
      <c r="A121" s="26"/>
      <c r="B121" s="33"/>
      <c r="C121" s="33"/>
      <c r="D121" s="20"/>
      <c r="E121" s="20"/>
      <c r="F121" s="20"/>
    </row>
    <row r="122" spans="1:6">
      <c r="A122" s="29"/>
      <c r="B122" s="19"/>
      <c r="C122" s="30"/>
      <c r="D122" s="30"/>
      <c r="E122" s="30"/>
      <c r="F122" s="30"/>
    </row>
    <row r="123" spans="1:6">
      <c r="A123" s="8"/>
      <c r="B123" s="38"/>
      <c r="C123" s="39"/>
      <c r="D123" s="39"/>
      <c r="E123" s="39"/>
      <c r="F123" s="39"/>
    </row>
    <row r="124" spans="1:6">
      <c r="A124" s="43"/>
      <c r="B124" s="41"/>
      <c r="C124" s="42"/>
      <c r="D124" s="42"/>
      <c r="E124" s="42"/>
      <c r="F124" s="42"/>
    </row>
    <row r="125" spans="1:6">
      <c r="A125" s="29"/>
      <c r="B125" s="19"/>
      <c r="C125" s="30"/>
      <c r="D125" s="30"/>
      <c r="E125" s="30"/>
      <c r="F125" s="30"/>
    </row>
    <row r="126" spans="1:6">
      <c r="A126" s="8"/>
      <c r="B126" s="38"/>
      <c r="C126" s="39"/>
      <c r="D126" s="39"/>
      <c r="E126" s="39"/>
      <c r="F126" s="39"/>
    </row>
    <row r="127" spans="1:6">
      <c r="A127" s="43"/>
      <c r="B127" s="41"/>
      <c r="C127" s="42"/>
      <c r="D127" s="42"/>
      <c r="E127" s="42"/>
      <c r="F127" s="42"/>
    </row>
    <row r="128" spans="1:6">
      <c r="A128" s="29"/>
      <c r="B128" s="19"/>
      <c r="C128" s="30"/>
      <c r="D128" s="30"/>
      <c r="E128" s="30"/>
      <c r="F128" s="30"/>
    </row>
    <row r="129" spans="1:6">
      <c r="A129" s="8"/>
      <c r="B129" s="38"/>
      <c r="C129" s="39"/>
      <c r="D129" s="39"/>
      <c r="E129" s="39"/>
      <c r="F129" s="39"/>
    </row>
    <row r="130" spans="1:6">
      <c r="A130" s="43"/>
      <c r="B130" s="41"/>
      <c r="C130" s="42"/>
      <c r="D130" s="42"/>
      <c r="E130" s="42"/>
      <c r="F130" s="42"/>
    </row>
    <row r="131" spans="1:6">
      <c r="A131" s="29"/>
      <c r="B131" s="19"/>
      <c r="C131" s="30"/>
      <c r="D131" s="30"/>
      <c r="E131" s="30"/>
      <c r="F131" s="30"/>
    </row>
    <row r="132" spans="1:6">
      <c r="A132" s="43"/>
      <c r="B132" s="41"/>
      <c r="C132" s="42"/>
      <c r="D132" s="42"/>
      <c r="E132" s="42"/>
      <c r="F132" s="42"/>
    </row>
    <row r="133" spans="1:6">
      <c r="A133" s="21"/>
      <c r="B133" s="44"/>
      <c r="C133" s="45"/>
      <c r="D133" s="45"/>
      <c r="E133" s="45"/>
      <c r="F133" s="45"/>
    </row>
    <row r="134" spans="1:6">
      <c r="A134" s="2"/>
      <c r="B134" s="10"/>
      <c r="C134" s="10"/>
      <c r="D134" s="10"/>
      <c r="E134" s="10"/>
      <c r="F134" s="10"/>
    </row>
    <row r="135" spans="1:6">
      <c r="A135" s="2"/>
      <c r="B135" s="46"/>
      <c r="C135" s="46"/>
      <c r="D135" s="46"/>
      <c r="E135" s="46"/>
      <c r="F135" s="46"/>
    </row>
    <row r="136" spans="1:6">
      <c r="A136" s="14"/>
      <c r="B136" s="15"/>
      <c r="C136" s="191"/>
      <c r="D136" s="191"/>
      <c r="E136" s="191"/>
      <c r="F136" s="191"/>
    </row>
    <row r="137" spans="1:6">
      <c r="A137" s="16"/>
      <c r="B137" s="17"/>
      <c r="C137" s="17"/>
      <c r="D137" s="17"/>
      <c r="E137" s="17"/>
      <c r="F137" s="17"/>
    </row>
    <row r="138" spans="1:6">
      <c r="A138" s="18"/>
      <c r="B138" s="25"/>
      <c r="C138" s="25"/>
      <c r="D138" s="25"/>
      <c r="E138" s="25"/>
      <c r="F138" s="25"/>
    </row>
    <row r="139" spans="1:6">
      <c r="A139" s="18"/>
      <c r="B139" s="25"/>
      <c r="C139" s="25"/>
      <c r="D139" s="25"/>
      <c r="E139" s="25"/>
      <c r="F139" s="25"/>
    </row>
    <row r="140" spans="1:6">
      <c r="A140" s="18"/>
      <c r="B140" s="25"/>
      <c r="C140" s="25"/>
      <c r="D140" s="25"/>
      <c r="E140" s="25"/>
      <c r="F140" s="25"/>
    </row>
    <row r="141" spans="1:6">
      <c r="A141" s="18"/>
      <c r="B141" s="25"/>
      <c r="C141" s="25"/>
      <c r="D141" s="25"/>
      <c r="E141" s="25"/>
      <c r="F141" s="25"/>
    </row>
    <row r="142" spans="1:6">
      <c r="A142" s="47"/>
      <c r="B142" s="30"/>
      <c r="C142" s="30"/>
      <c r="D142" s="30"/>
      <c r="E142" s="30"/>
      <c r="F142" s="30"/>
    </row>
    <row r="143" spans="1:6">
      <c r="A143" s="40"/>
      <c r="B143" s="42"/>
      <c r="C143" s="42"/>
      <c r="D143" s="42"/>
      <c r="E143" s="42"/>
      <c r="F143" s="42"/>
    </row>
    <row r="144" spans="1:6">
      <c r="A144" s="18"/>
      <c r="B144" s="25"/>
      <c r="C144" s="25"/>
      <c r="D144" s="25"/>
      <c r="E144" s="25"/>
      <c r="F144" s="25"/>
    </row>
    <row r="145" spans="1:6">
      <c r="A145" s="18"/>
      <c r="B145" s="25"/>
      <c r="C145" s="25"/>
      <c r="D145" s="25"/>
      <c r="E145" s="25"/>
      <c r="F145" s="25"/>
    </row>
    <row r="146" spans="1:6">
      <c r="A146" s="47"/>
      <c r="B146" s="30"/>
      <c r="C146" s="30"/>
      <c r="D146" s="30"/>
      <c r="E146" s="30"/>
      <c r="F146" s="30"/>
    </row>
    <row r="147" spans="1:6">
      <c r="A147" s="40"/>
      <c r="B147" s="42"/>
      <c r="C147" s="42"/>
      <c r="D147" s="42"/>
      <c r="E147" s="42"/>
      <c r="F147" s="42"/>
    </row>
    <row r="148" spans="1:6">
      <c r="A148" s="18"/>
      <c r="B148" s="30"/>
      <c r="C148" s="30"/>
      <c r="D148" s="30"/>
      <c r="E148" s="30"/>
      <c r="F148" s="30"/>
    </row>
    <row r="149" spans="1:6">
      <c r="A149" s="18"/>
      <c r="B149" s="30"/>
      <c r="C149" s="30"/>
      <c r="D149" s="30"/>
      <c r="E149" s="30"/>
      <c r="F149" s="30"/>
    </row>
    <row r="150" spans="1:6">
      <c r="A150" s="21"/>
      <c r="B150" s="27"/>
      <c r="C150" s="27"/>
      <c r="D150" s="27"/>
      <c r="E150" s="27"/>
      <c r="F150" s="27"/>
    </row>
    <row r="151" spans="1:6">
      <c r="A151" s="48"/>
      <c r="B151" s="23"/>
      <c r="C151" s="23"/>
      <c r="D151" s="23"/>
      <c r="E151" s="23"/>
      <c r="F151" s="23"/>
    </row>
    <row r="152" spans="1:6">
      <c r="A152" s="12"/>
      <c r="B152" s="12"/>
      <c r="C152" s="12"/>
      <c r="D152" s="12"/>
      <c r="E152" s="12"/>
      <c r="F152" s="12"/>
    </row>
    <row r="153" spans="1:6">
      <c r="A153" s="14"/>
      <c r="B153" s="15"/>
      <c r="C153" s="191"/>
      <c r="D153" s="191"/>
      <c r="E153" s="191"/>
      <c r="F153" s="191"/>
    </row>
    <row r="154" spans="1:6">
      <c r="A154" s="16"/>
      <c r="B154" s="17"/>
      <c r="C154" s="17"/>
      <c r="D154" s="17"/>
      <c r="E154" s="17"/>
      <c r="F154" s="17"/>
    </row>
    <row r="155" spans="1:6">
      <c r="A155" s="18"/>
      <c r="B155" s="25"/>
      <c r="C155" s="25"/>
      <c r="D155" s="25"/>
      <c r="E155" s="25"/>
      <c r="F155" s="25"/>
    </row>
    <row r="156" spans="1:6">
      <c r="A156" s="18"/>
      <c r="B156" s="25"/>
      <c r="C156" s="25"/>
      <c r="D156" s="25"/>
      <c r="E156" s="25"/>
      <c r="F156" s="25"/>
    </row>
    <row r="157" spans="1:6">
      <c r="A157" s="18"/>
      <c r="B157" s="25"/>
      <c r="C157" s="25"/>
      <c r="D157" s="25"/>
      <c r="E157" s="25"/>
      <c r="F157" s="25"/>
    </row>
    <row r="158" spans="1:6">
      <c r="A158" s="21"/>
      <c r="B158" s="27"/>
      <c r="C158" s="27"/>
      <c r="D158" s="27"/>
      <c r="E158" s="27"/>
      <c r="F158" s="27"/>
    </row>
    <row r="159" spans="1:6">
      <c r="A159" s="12"/>
      <c r="B159" s="12"/>
      <c r="C159" s="12"/>
      <c r="D159" s="12"/>
      <c r="E159" s="12"/>
      <c r="F159" s="12"/>
    </row>
    <row r="160" spans="1:6">
      <c r="A160" s="14"/>
      <c r="B160" s="15"/>
      <c r="C160" s="191"/>
      <c r="D160" s="191"/>
      <c r="E160" s="191"/>
      <c r="F160" s="191"/>
    </row>
    <row r="161" spans="1:6">
      <c r="A161" s="16"/>
      <c r="B161" s="17"/>
      <c r="C161" s="17"/>
      <c r="D161" s="17"/>
      <c r="E161" s="17"/>
      <c r="F161" s="17"/>
    </row>
    <row r="162" spans="1:6">
      <c r="A162" s="18"/>
      <c r="B162" s="25"/>
      <c r="C162" s="25"/>
      <c r="D162" s="25"/>
      <c r="E162" s="25"/>
      <c r="F162" s="25"/>
    </row>
    <row r="163" spans="1:6">
      <c r="A163" s="18"/>
      <c r="B163" s="25"/>
      <c r="C163" s="25"/>
      <c r="D163" s="25"/>
      <c r="E163" s="25"/>
      <c r="F163" s="25"/>
    </row>
    <row r="164" spans="1:6">
      <c r="A164" s="21"/>
      <c r="B164" s="27"/>
      <c r="C164" s="27"/>
      <c r="D164" s="27"/>
      <c r="E164" s="27"/>
      <c r="F164" s="27"/>
    </row>
  </sheetData>
  <mergeCells count="11">
    <mergeCell ref="C59:F59"/>
    <mergeCell ref="C4:F4"/>
    <mergeCell ref="C23:F23"/>
    <mergeCell ref="C29:F29"/>
    <mergeCell ref="C42:F42"/>
    <mergeCell ref="C48:F48"/>
    <mergeCell ref="C136:F136"/>
    <mergeCell ref="C153:F153"/>
    <mergeCell ref="C160:F160"/>
    <mergeCell ref="C106:F106"/>
    <mergeCell ref="C113:F113"/>
  </mergeCells>
  <pageMargins left="0.7" right="0.7" top="0.75" bottom="0.75" header="0.3" footer="0.3"/>
  <pageSetup paperSize="9" orientation="portrait" verticalDpi="0" r:id="rId1"/>
  <ignoredErrors>
    <ignoredError sqref="D74 B65 B74" unlockedFormula="1"/>
    <ignoredError sqref="B6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03E1-CB35-4609-B7C4-5F381D1F5366}">
  <dimension ref="A2:F57"/>
  <sheetViews>
    <sheetView zoomScaleNormal="100" workbookViewId="0">
      <selection activeCell="L20" sqref="L20"/>
    </sheetView>
  </sheetViews>
  <sheetFormatPr defaultRowHeight="12.75"/>
  <cols>
    <col min="1" max="1" width="48.85546875" customWidth="1"/>
    <col min="2" max="3" width="12.28515625" customWidth="1"/>
    <col min="4" max="4" width="12.85546875" customWidth="1"/>
    <col min="5" max="5" width="12.140625" customWidth="1"/>
    <col min="6" max="6" width="11.42578125" customWidth="1"/>
  </cols>
  <sheetData>
    <row r="2" spans="1:6">
      <c r="A2" s="184" t="s">
        <v>70</v>
      </c>
    </row>
    <row r="3" spans="1:6">
      <c r="A3" s="1" t="s">
        <v>40</v>
      </c>
    </row>
    <row r="4" spans="1:6">
      <c r="A4" s="65" t="s">
        <v>5</v>
      </c>
      <c r="B4" s="62"/>
      <c r="C4" s="190">
        <v>2019</v>
      </c>
      <c r="D4" s="190"/>
      <c r="E4" s="190"/>
      <c r="F4" s="190"/>
    </row>
    <row r="5" spans="1:6">
      <c r="A5" s="65" t="s">
        <v>4</v>
      </c>
      <c r="B5" s="64" t="s">
        <v>0</v>
      </c>
      <c r="C5" s="63" t="s">
        <v>36</v>
      </c>
      <c r="D5" s="63" t="s">
        <v>37</v>
      </c>
      <c r="E5" s="63" t="s">
        <v>38</v>
      </c>
      <c r="F5" s="63" t="s">
        <v>39</v>
      </c>
    </row>
    <row r="6" spans="1:6">
      <c r="A6" s="8" t="s">
        <v>6</v>
      </c>
      <c r="B6" s="12">
        <v>91634</v>
      </c>
      <c r="C6" s="12">
        <v>22360</v>
      </c>
      <c r="D6" s="12">
        <v>22642</v>
      </c>
      <c r="E6" s="12">
        <v>25087</v>
      </c>
      <c r="F6" s="12">
        <v>21544</v>
      </c>
    </row>
    <row r="7" spans="1:6">
      <c r="A7" s="49" t="s">
        <v>7</v>
      </c>
      <c r="B7" s="56">
        <v>30724</v>
      </c>
      <c r="C7" s="56">
        <v>7645</v>
      </c>
      <c r="D7" s="56">
        <v>7809</v>
      </c>
      <c r="E7" s="56">
        <v>8248</v>
      </c>
      <c r="F7" s="56">
        <v>7022</v>
      </c>
    </row>
    <row r="8" spans="1:6">
      <c r="A8" s="66" t="s">
        <v>5</v>
      </c>
      <c r="B8" s="10">
        <f>SUM(B6:B7)</f>
        <v>122358</v>
      </c>
      <c r="C8" s="10">
        <f>SUM(C6:C7)+1</f>
        <v>30006</v>
      </c>
      <c r="D8" s="10">
        <f>SUM(D6:D7)</f>
        <v>30451</v>
      </c>
      <c r="E8" s="10">
        <f>SUM(E6:E7)</f>
        <v>33335</v>
      </c>
      <c r="F8" s="10">
        <f>SUM(F6:F7)</f>
        <v>28566</v>
      </c>
    </row>
    <row r="9" spans="1:6">
      <c r="A9" s="57" t="s">
        <v>8</v>
      </c>
      <c r="B9" s="12"/>
      <c r="C9" s="12"/>
      <c r="D9" s="12"/>
      <c r="E9" s="12"/>
      <c r="F9" s="12"/>
    </row>
    <row r="10" spans="1:6">
      <c r="A10" s="8" t="s">
        <v>5</v>
      </c>
      <c r="B10" s="12">
        <f>B8</f>
        <v>122358</v>
      </c>
      <c r="C10" s="12">
        <f>C8</f>
        <v>30006</v>
      </c>
      <c r="D10" s="12">
        <f>D8</f>
        <v>30451</v>
      </c>
      <c r="E10" s="12">
        <v>15505</v>
      </c>
      <c r="F10" s="12">
        <f>F8</f>
        <v>28566</v>
      </c>
    </row>
    <row r="11" spans="1:6">
      <c r="A11" s="49" t="s">
        <v>9</v>
      </c>
      <c r="B11" s="54">
        <v>1222</v>
      </c>
      <c r="C11" s="54">
        <v>593</v>
      </c>
      <c r="D11" s="54">
        <v>323</v>
      </c>
      <c r="E11" s="54" t="s">
        <v>2</v>
      </c>
      <c r="F11" s="54">
        <v>307</v>
      </c>
    </row>
    <row r="12" spans="1:6">
      <c r="A12" s="57" t="s">
        <v>8</v>
      </c>
      <c r="B12" s="10">
        <f>SUM(B10:B11)</f>
        <v>123580</v>
      </c>
      <c r="C12" s="10">
        <f>SUM(C10:C11)</f>
        <v>30599</v>
      </c>
      <c r="D12" s="10">
        <f>SUM(D10:D11)</f>
        <v>30774</v>
      </c>
      <c r="E12" s="10">
        <f>SUM(E10:E11)</f>
        <v>15505</v>
      </c>
      <c r="F12" s="10">
        <f>SUM(F10:F11)</f>
        <v>28873</v>
      </c>
    </row>
    <row r="13" spans="1:6">
      <c r="A13" s="57" t="s">
        <v>10</v>
      </c>
      <c r="B13" s="12"/>
      <c r="C13" s="12"/>
      <c r="D13" s="12"/>
      <c r="E13" s="12"/>
      <c r="F13" s="12"/>
    </row>
    <row r="14" spans="1:6">
      <c r="A14" s="8" t="s">
        <v>6</v>
      </c>
      <c r="B14" s="12">
        <v>91634</v>
      </c>
      <c r="C14" s="12">
        <v>22360</v>
      </c>
      <c r="D14" s="12">
        <v>22642</v>
      </c>
      <c r="E14" s="12">
        <v>25097</v>
      </c>
      <c r="F14" s="12">
        <v>21544</v>
      </c>
    </row>
    <row r="15" spans="1:6">
      <c r="A15" s="49" t="s">
        <v>11</v>
      </c>
      <c r="B15" s="54" t="s">
        <v>2</v>
      </c>
      <c r="C15" s="54" t="s">
        <v>2</v>
      </c>
      <c r="D15" s="54" t="s">
        <v>2</v>
      </c>
      <c r="E15" s="54" t="s">
        <v>2</v>
      </c>
      <c r="F15" s="54" t="s">
        <v>2</v>
      </c>
    </row>
    <row r="16" spans="1:6">
      <c r="A16" s="57" t="s">
        <v>10</v>
      </c>
      <c r="B16" s="12">
        <f>SUM(B14:B15)</f>
        <v>91634</v>
      </c>
      <c r="C16" s="12">
        <f>SUM(C14:C15)</f>
        <v>22360</v>
      </c>
      <c r="D16" s="12">
        <f>SUM(D14:D15)</f>
        <v>22642</v>
      </c>
      <c r="E16" s="12">
        <f>SUM(E14:E15)</f>
        <v>25097</v>
      </c>
      <c r="F16" s="12">
        <f>SUM(F14:F15)</f>
        <v>21544</v>
      </c>
    </row>
    <row r="17" spans="1:6">
      <c r="A17" s="13" t="s">
        <v>12</v>
      </c>
      <c r="B17" s="12"/>
      <c r="C17" s="12"/>
      <c r="D17" s="11"/>
      <c r="E17" s="11"/>
      <c r="F17" s="11"/>
    </row>
    <row r="18" spans="1:6">
      <c r="A18" s="2" t="s">
        <v>10</v>
      </c>
      <c r="B18" s="12">
        <f>B16</f>
        <v>91634</v>
      </c>
      <c r="C18" s="12">
        <f>C16</f>
        <v>22360</v>
      </c>
      <c r="D18" s="12">
        <f>D16</f>
        <v>22642</v>
      </c>
      <c r="E18" s="12">
        <f>E16</f>
        <v>25097</v>
      </c>
      <c r="F18" s="12">
        <f>F16</f>
        <v>21544</v>
      </c>
    </row>
    <row r="19" spans="1:6">
      <c r="A19" s="53" t="s">
        <v>9</v>
      </c>
      <c r="B19" s="54">
        <v>1222</v>
      </c>
      <c r="C19" s="54">
        <v>593</v>
      </c>
      <c r="D19" s="54">
        <v>323</v>
      </c>
      <c r="E19" s="54" t="s">
        <v>2</v>
      </c>
      <c r="F19" s="54">
        <v>307</v>
      </c>
    </row>
    <row r="20" spans="1:6">
      <c r="A20" s="2" t="s">
        <v>12</v>
      </c>
      <c r="B20" s="12">
        <f>SUM(B18:B19)</f>
        <v>92856</v>
      </c>
      <c r="C20" s="12">
        <f>SUM(C18:C19)</f>
        <v>22953</v>
      </c>
      <c r="D20" s="12">
        <f>SUM(D18:D19)</f>
        <v>22965</v>
      </c>
      <c r="E20" s="12">
        <f>SUM(E18:E19)</f>
        <v>25097</v>
      </c>
      <c r="F20" s="12">
        <f>SUM(F18:F19)</f>
        <v>21851</v>
      </c>
    </row>
    <row r="21" spans="1:6">
      <c r="A21" s="11"/>
      <c r="B21" s="11"/>
      <c r="C21" s="11"/>
      <c r="D21" s="11"/>
      <c r="E21" s="11"/>
      <c r="F21" s="11"/>
    </row>
    <row r="22" spans="1:6">
      <c r="A22" s="1" t="s">
        <v>41</v>
      </c>
      <c r="B22" s="1"/>
      <c r="C22" s="1"/>
      <c r="D22" s="1"/>
      <c r="E22" s="1"/>
      <c r="F22" s="1"/>
    </row>
    <row r="23" spans="1:6">
      <c r="A23" s="65" t="s">
        <v>13</v>
      </c>
      <c r="B23" s="62"/>
      <c r="C23" s="190">
        <v>2019</v>
      </c>
      <c r="D23" s="190"/>
      <c r="E23" s="190"/>
      <c r="F23" s="190"/>
    </row>
    <row r="24" spans="1:6">
      <c r="A24" s="65" t="s">
        <v>4</v>
      </c>
      <c r="B24" s="64" t="s">
        <v>0</v>
      </c>
      <c r="C24" s="63" t="s">
        <v>36</v>
      </c>
      <c r="D24" s="63" t="s">
        <v>37</v>
      </c>
      <c r="E24" s="63" t="s">
        <v>38</v>
      </c>
      <c r="F24" s="63" t="s">
        <v>39</v>
      </c>
    </row>
    <row r="25" spans="1:6">
      <c r="A25" s="13" t="s">
        <v>1</v>
      </c>
      <c r="B25" s="12">
        <v>614228</v>
      </c>
      <c r="C25" s="12">
        <v>614228</v>
      </c>
      <c r="D25" s="12">
        <v>605366</v>
      </c>
      <c r="E25" s="12">
        <v>589076</v>
      </c>
      <c r="F25" s="12">
        <v>565665</v>
      </c>
    </row>
    <row r="26" spans="1:6">
      <c r="A26" s="53" t="s">
        <v>14</v>
      </c>
      <c r="B26" s="56">
        <v>986295</v>
      </c>
      <c r="C26" s="56">
        <v>986295</v>
      </c>
      <c r="D26" s="56">
        <v>985358</v>
      </c>
      <c r="E26" s="56">
        <v>977373</v>
      </c>
      <c r="F26" s="56">
        <v>980421</v>
      </c>
    </row>
    <row r="27" spans="1:6">
      <c r="A27" s="9" t="s">
        <v>15</v>
      </c>
      <c r="B27" s="61">
        <f>B25/B26</f>
        <v>0.62276296645526952</v>
      </c>
      <c r="C27" s="61">
        <f>C25/C26</f>
        <v>0.62276296645526952</v>
      </c>
      <c r="D27" s="61">
        <f>D25/D26</f>
        <v>0.61436148080190145</v>
      </c>
      <c r="E27" s="61">
        <f>E25/E26</f>
        <v>0.60271360064172019</v>
      </c>
      <c r="F27" s="61">
        <f>F25/F26</f>
        <v>0.57696132579779502</v>
      </c>
    </row>
    <row r="28" spans="1:6">
      <c r="A28" s="5"/>
      <c r="B28" s="4"/>
      <c r="C28" s="4"/>
      <c r="D28" s="4"/>
      <c r="E28" s="4"/>
      <c r="F28" s="4"/>
    </row>
    <row r="29" spans="1:6">
      <c r="A29" s="65" t="s">
        <v>3</v>
      </c>
      <c r="B29" s="62"/>
      <c r="C29" s="190">
        <v>2019</v>
      </c>
      <c r="D29" s="190"/>
      <c r="E29" s="190"/>
      <c r="F29" s="190"/>
    </row>
    <row r="30" spans="1:6">
      <c r="A30" s="65" t="s">
        <v>4</v>
      </c>
      <c r="B30" s="64" t="s">
        <v>0</v>
      </c>
      <c r="C30" s="63" t="s">
        <v>36</v>
      </c>
      <c r="D30" s="63" t="s">
        <v>37</v>
      </c>
      <c r="E30" s="63" t="s">
        <v>42</v>
      </c>
      <c r="F30" s="63" t="s">
        <v>39</v>
      </c>
    </row>
    <row r="31" spans="1:6">
      <c r="A31" s="8" t="s">
        <v>16</v>
      </c>
      <c r="B31" s="12">
        <f>6680</f>
        <v>6680</v>
      </c>
      <c r="C31" s="12">
        <v>6680</v>
      </c>
      <c r="D31" s="12">
        <v>5000</v>
      </c>
      <c r="E31" s="12">
        <v>5000</v>
      </c>
      <c r="F31" s="12">
        <v>10000</v>
      </c>
    </row>
    <row r="32" spans="1:6">
      <c r="A32" s="8" t="s">
        <v>17</v>
      </c>
      <c r="B32" s="12">
        <f>153320-923</f>
        <v>152397</v>
      </c>
      <c r="C32" s="12">
        <v>152397</v>
      </c>
      <c r="D32" s="12">
        <f>160000-1044</f>
        <v>158956</v>
      </c>
      <c r="E32" s="12">
        <f>160000-1164</f>
        <v>158836</v>
      </c>
      <c r="F32" s="12">
        <f>160000-1284</f>
        <v>158716</v>
      </c>
    </row>
    <row r="33" spans="1:6">
      <c r="A33" s="8" t="s">
        <v>18</v>
      </c>
      <c r="B33" s="12">
        <v>56958</v>
      </c>
      <c r="C33" s="12">
        <v>56958</v>
      </c>
      <c r="D33" s="12">
        <v>55199</v>
      </c>
      <c r="E33" s="12">
        <v>64124</v>
      </c>
      <c r="F33" s="12">
        <v>75207</v>
      </c>
    </row>
    <row r="34" spans="1:6">
      <c r="A34" s="8" t="s">
        <v>19</v>
      </c>
      <c r="B34" s="50">
        <v>2942</v>
      </c>
      <c r="C34" s="50">
        <v>2942</v>
      </c>
      <c r="D34" s="50">
        <v>3036</v>
      </c>
      <c r="E34" s="12">
        <v>3062</v>
      </c>
      <c r="F34" s="12">
        <v>3022</v>
      </c>
    </row>
    <row r="35" spans="1:6">
      <c r="A35" s="49" t="s">
        <v>20</v>
      </c>
      <c r="B35" s="59">
        <v>-87113</v>
      </c>
      <c r="C35" s="58">
        <v>-87113</v>
      </c>
      <c r="D35" s="56">
        <v>-60842</v>
      </c>
      <c r="E35" s="56">
        <v>-42390</v>
      </c>
      <c r="F35" s="56">
        <v>-35880</v>
      </c>
    </row>
    <row r="36" spans="1:6">
      <c r="A36" s="2" t="s">
        <v>21</v>
      </c>
      <c r="B36" s="10">
        <f>SUM(B31:B35)-1</f>
        <v>131863</v>
      </c>
      <c r="C36" s="10">
        <f>SUM(C31:C35)</f>
        <v>131864</v>
      </c>
      <c r="D36" s="10">
        <f>SUM(D31:D35)+1</f>
        <v>161350</v>
      </c>
      <c r="E36" s="10">
        <f>SUM(E31:E35)+1</f>
        <v>188633</v>
      </c>
      <c r="F36" s="10">
        <f>SUM(F31:F35)</f>
        <v>211065</v>
      </c>
    </row>
    <row r="37" spans="1:6">
      <c r="A37" s="13" t="s">
        <v>22</v>
      </c>
      <c r="B37" s="12"/>
      <c r="C37" s="11"/>
      <c r="D37" s="11"/>
      <c r="E37" s="52"/>
      <c r="F37" s="11"/>
    </row>
    <row r="38" spans="1:6">
      <c r="A38" s="2" t="s">
        <v>21</v>
      </c>
      <c r="B38" s="12">
        <f>B36</f>
        <v>131863</v>
      </c>
      <c r="C38" s="12">
        <v>131863</v>
      </c>
      <c r="D38" s="12">
        <f>D36</f>
        <v>161350</v>
      </c>
      <c r="E38" s="12">
        <v>188633</v>
      </c>
      <c r="F38" s="12">
        <f>F36</f>
        <v>211065</v>
      </c>
    </row>
    <row r="39" spans="1:6">
      <c r="A39" s="13" t="s">
        <v>23</v>
      </c>
      <c r="B39" s="12">
        <v>123580</v>
      </c>
      <c r="C39" s="12">
        <v>123580</v>
      </c>
      <c r="D39" s="12">
        <v>116578</v>
      </c>
      <c r="E39" s="12">
        <v>106581</v>
      </c>
      <c r="F39" s="12">
        <v>98048</v>
      </c>
    </row>
    <row r="40" spans="1:6">
      <c r="A40" s="13" t="s">
        <v>43</v>
      </c>
      <c r="B40" s="60">
        <f>B38/B39</f>
        <v>1.0670254086421751</v>
      </c>
      <c r="C40" s="60">
        <f>C38/C39</f>
        <v>1.0670254086421751</v>
      </c>
      <c r="D40" s="60">
        <f>D38/D39</f>
        <v>1.3840518794283656</v>
      </c>
      <c r="E40" s="60">
        <f>E38/E39</f>
        <v>1.7698557904316905</v>
      </c>
      <c r="F40" s="60">
        <f>F38/F39</f>
        <v>2.1526701207571803</v>
      </c>
    </row>
    <row r="41" spans="1:6">
      <c r="A41" s="5"/>
      <c r="B41" s="1"/>
      <c r="C41" s="1"/>
      <c r="D41" s="1"/>
      <c r="E41" s="1"/>
      <c r="F41" s="1"/>
    </row>
    <row r="42" spans="1:6">
      <c r="A42" s="65" t="s">
        <v>24</v>
      </c>
      <c r="B42" s="62"/>
      <c r="C42" s="190">
        <v>2019</v>
      </c>
      <c r="D42" s="190"/>
      <c r="E42" s="190"/>
      <c r="F42" s="190"/>
    </row>
    <row r="43" spans="1:6">
      <c r="A43" s="65" t="s">
        <v>4</v>
      </c>
      <c r="B43" s="64" t="s">
        <v>0</v>
      </c>
      <c r="C43" s="63" t="s">
        <v>36</v>
      </c>
      <c r="D43" s="63" t="s">
        <v>37</v>
      </c>
      <c r="E43" s="63" t="s">
        <v>42</v>
      </c>
      <c r="F43" s="63" t="s">
        <v>39</v>
      </c>
    </row>
    <row r="44" spans="1:6">
      <c r="A44" s="2" t="s">
        <v>5</v>
      </c>
      <c r="B44" s="1"/>
      <c r="C44" s="1"/>
      <c r="D44" s="1"/>
      <c r="E44" s="1"/>
      <c r="F44" s="1"/>
    </row>
    <row r="45" spans="1:6">
      <c r="A45" s="53" t="s">
        <v>25</v>
      </c>
      <c r="B45" s="54">
        <v>1222</v>
      </c>
      <c r="C45" s="54">
        <v>593</v>
      </c>
      <c r="D45" s="54">
        <v>323</v>
      </c>
      <c r="E45" s="54" t="s">
        <v>2</v>
      </c>
      <c r="F45" s="54">
        <v>307</v>
      </c>
    </row>
    <row r="46" spans="1:6">
      <c r="A46" s="2" t="s">
        <v>26</v>
      </c>
      <c r="B46" s="50">
        <f>SUM(B45)</f>
        <v>1222</v>
      </c>
      <c r="C46" s="50">
        <f>SUM(C45)</f>
        <v>593</v>
      </c>
      <c r="D46" s="50">
        <f>SUM(D45)</f>
        <v>323</v>
      </c>
      <c r="E46" s="50" t="s">
        <v>2</v>
      </c>
      <c r="F46" s="50">
        <f>SUM(F45)</f>
        <v>307</v>
      </c>
    </row>
    <row r="47" spans="1:6">
      <c r="A47" s="2"/>
      <c r="B47" s="3"/>
      <c r="C47" s="3"/>
      <c r="D47" s="3"/>
      <c r="E47" s="3"/>
      <c r="F47" s="3"/>
    </row>
    <row r="48" spans="1:6">
      <c r="A48" s="6" t="s">
        <v>27</v>
      </c>
      <c r="B48" s="62"/>
      <c r="C48" s="190">
        <v>2019</v>
      </c>
      <c r="D48" s="190"/>
      <c r="E48" s="190"/>
      <c r="F48" s="190"/>
    </row>
    <row r="49" spans="1:6">
      <c r="A49" s="7" t="s">
        <v>4</v>
      </c>
      <c r="B49" s="64" t="s">
        <v>0</v>
      </c>
      <c r="C49" s="63" t="s">
        <v>36</v>
      </c>
      <c r="D49" s="63" t="s">
        <v>37</v>
      </c>
      <c r="E49" s="63" t="s">
        <v>42</v>
      </c>
      <c r="F49" s="63" t="s">
        <v>39</v>
      </c>
    </row>
    <row r="50" spans="1:6">
      <c r="A50" s="2" t="s">
        <v>28</v>
      </c>
      <c r="B50" s="12">
        <v>864488</v>
      </c>
      <c r="C50" s="12">
        <v>218113</v>
      </c>
      <c r="D50" s="50" t="s">
        <v>2</v>
      </c>
      <c r="E50" s="50" t="s">
        <v>2</v>
      </c>
      <c r="F50" s="50">
        <v>211681</v>
      </c>
    </row>
    <row r="51" spans="1:6">
      <c r="A51" s="13" t="s">
        <v>29</v>
      </c>
      <c r="B51" s="50" t="s">
        <v>2</v>
      </c>
      <c r="C51" s="50" t="s">
        <v>2</v>
      </c>
      <c r="D51" s="50" t="s">
        <v>2</v>
      </c>
      <c r="E51" s="50" t="s">
        <v>2</v>
      </c>
      <c r="F51" s="50" t="s">
        <v>2</v>
      </c>
    </row>
    <row r="52" spans="1:6">
      <c r="A52" s="13" t="s">
        <v>30</v>
      </c>
      <c r="B52" s="50" t="s">
        <v>2</v>
      </c>
      <c r="C52" s="50" t="s">
        <v>2</v>
      </c>
      <c r="D52" s="50" t="s">
        <v>2</v>
      </c>
      <c r="E52" s="50" t="s">
        <v>2</v>
      </c>
      <c r="F52" s="50">
        <v>3669</v>
      </c>
    </row>
    <row r="53" spans="1:6">
      <c r="A53" s="13" t="s">
        <v>31</v>
      </c>
      <c r="B53" s="50" t="s">
        <v>2</v>
      </c>
      <c r="C53" s="50" t="s">
        <v>2</v>
      </c>
      <c r="D53" s="50" t="s">
        <v>2</v>
      </c>
      <c r="E53" s="50" t="s">
        <v>2</v>
      </c>
      <c r="F53" s="50">
        <v>8893</v>
      </c>
    </row>
    <row r="54" spans="1:6">
      <c r="A54" s="53" t="s">
        <v>32</v>
      </c>
      <c r="B54" s="54" t="s">
        <v>2</v>
      </c>
      <c r="C54" s="54" t="s">
        <v>2</v>
      </c>
      <c r="D54" s="54" t="s">
        <v>2</v>
      </c>
      <c r="E54" s="54" t="s">
        <v>2</v>
      </c>
      <c r="F54" s="54" t="s">
        <v>2</v>
      </c>
    </row>
    <row r="55" spans="1:6">
      <c r="A55" s="2" t="s">
        <v>33</v>
      </c>
      <c r="B55" s="10">
        <f>SUM(B51:B54)</f>
        <v>0</v>
      </c>
      <c r="C55" s="10">
        <f>SUM(C52:C54)</f>
        <v>0</v>
      </c>
      <c r="D55" s="46" t="s">
        <v>2</v>
      </c>
      <c r="E55" s="46" t="s">
        <v>2</v>
      </c>
      <c r="F55" s="46">
        <f>SUM(F52:F54)</f>
        <v>12562</v>
      </c>
    </row>
    <row r="56" spans="1:6">
      <c r="A56" s="2" t="s">
        <v>34</v>
      </c>
      <c r="B56" s="10">
        <f>B50+B55</f>
        <v>864488</v>
      </c>
      <c r="C56" s="10">
        <f>C50+C55</f>
        <v>218113</v>
      </c>
      <c r="D56" s="46" t="s">
        <v>2</v>
      </c>
      <c r="E56" s="46" t="s">
        <v>2</v>
      </c>
      <c r="F56" s="46">
        <v>199089</v>
      </c>
    </row>
    <row r="57" spans="1:6">
      <c r="A57" s="2" t="s">
        <v>35</v>
      </c>
      <c r="B57" s="11">
        <v>3.5</v>
      </c>
      <c r="C57" s="11">
        <v>1.9</v>
      </c>
      <c r="D57" s="51" t="s">
        <v>2</v>
      </c>
      <c r="E57" s="51" t="s">
        <v>2</v>
      </c>
      <c r="F57" s="51">
        <v>6.2</v>
      </c>
    </row>
  </sheetData>
  <mergeCells count="5">
    <mergeCell ref="C4:F4"/>
    <mergeCell ref="C23:F23"/>
    <mergeCell ref="C29:F29"/>
    <mergeCell ref="C42:F42"/>
    <mergeCell ref="C48:F48"/>
  </mergeCells>
  <pageMargins left="0.7" right="0.7" top="0.75" bottom="0.75" header="0.3" footer="0.3"/>
  <ignoredErrors>
    <ignoredError sqref="C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C0113-30BD-486A-B7CD-E93C9692C388}">
  <dimension ref="A1:K42"/>
  <sheetViews>
    <sheetView zoomScale="80" zoomScaleNormal="80" workbookViewId="0">
      <selection activeCell="M40" sqref="M40"/>
    </sheetView>
  </sheetViews>
  <sheetFormatPr defaultRowHeight="12.75"/>
  <cols>
    <col min="1" max="1" width="23.5703125" customWidth="1"/>
    <col min="2" max="2" width="9.28515625" customWidth="1"/>
  </cols>
  <sheetData>
    <row r="1" spans="1:11" ht="15">
      <c r="A1" s="67" t="s">
        <v>44</v>
      </c>
    </row>
    <row r="3" spans="1:11" ht="18.75">
      <c r="A3" s="68" t="s">
        <v>62</v>
      </c>
    </row>
    <row r="4" spans="1:11">
      <c r="A4" t="s">
        <v>45</v>
      </c>
    </row>
    <row r="6" spans="1:11" ht="15">
      <c r="A6" s="156" t="s">
        <v>46</v>
      </c>
      <c r="B6" s="157"/>
      <c r="C6" s="157"/>
      <c r="D6" s="157"/>
      <c r="E6" s="157"/>
      <c r="F6" s="157"/>
      <c r="G6" s="157"/>
      <c r="H6" s="157"/>
      <c r="I6" s="157"/>
      <c r="J6" s="157"/>
      <c r="K6" s="158"/>
    </row>
    <row r="7" spans="1:11" ht="15">
      <c r="A7" s="159" t="s">
        <v>47</v>
      </c>
      <c r="B7" s="160">
        <v>2019</v>
      </c>
      <c r="C7" s="161"/>
      <c r="D7" s="161"/>
      <c r="E7" s="162"/>
      <c r="F7" s="163">
        <v>2019</v>
      </c>
      <c r="G7" s="160">
        <v>2020</v>
      </c>
      <c r="H7" s="164"/>
      <c r="I7" s="164"/>
      <c r="J7" s="165"/>
      <c r="K7" s="166">
        <v>2020</v>
      </c>
    </row>
    <row r="8" spans="1:11" ht="15">
      <c r="A8" s="167" t="s">
        <v>48</v>
      </c>
      <c r="B8" s="168">
        <v>1</v>
      </c>
      <c r="C8" s="169">
        <v>2</v>
      </c>
      <c r="D8" s="169">
        <v>3</v>
      </c>
      <c r="E8" s="170">
        <v>4</v>
      </c>
      <c r="F8" s="171" t="s">
        <v>49</v>
      </c>
      <c r="G8" s="168">
        <v>1</v>
      </c>
      <c r="H8" s="169">
        <v>2</v>
      </c>
      <c r="I8" s="169">
        <v>3</v>
      </c>
      <c r="J8" s="170">
        <v>4</v>
      </c>
      <c r="K8" s="172" t="s">
        <v>49</v>
      </c>
    </row>
    <row r="9" spans="1:11" ht="15">
      <c r="A9" s="69" t="s">
        <v>50</v>
      </c>
      <c r="B9" s="70"/>
      <c r="C9" s="71"/>
      <c r="D9" s="71"/>
      <c r="E9" s="72"/>
      <c r="F9" s="73"/>
      <c r="G9" s="70"/>
      <c r="H9" s="71"/>
      <c r="I9" s="71"/>
      <c r="J9" s="72"/>
      <c r="K9" s="74"/>
    </row>
    <row r="10" spans="1:11" ht="15">
      <c r="A10" s="75" t="s">
        <v>51</v>
      </c>
      <c r="B10" s="76">
        <v>102464</v>
      </c>
      <c r="C10" s="77">
        <v>112256</v>
      </c>
      <c r="D10" s="77">
        <v>104730</v>
      </c>
      <c r="E10" s="78">
        <v>104042</v>
      </c>
      <c r="F10" s="79">
        <v>423491</v>
      </c>
      <c r="G10" s="76">
        <v>94858</v>
      </c>
      <c r="H10" s="77">
        <v>74278</v>
      </c>
      <c r="I10" s="77">
        <v>81063</v>
      </c>
      <c r="J10" s="78">
        <v>92384</v>
      </c>
      <c r="K10" s="80">
        <v>342583</v>
      </c>
    </row>
    <row r="11" spans="1:11" ht="15">
      <c r="A11" s="81" t="s">
        <v>52</v>
      </c>
      <c r="B11" s="82">
        <v>104353</v>
      </c>
      <c r="C11" s="83">
        <v>100584</v>
      </c>
      <c r="D11" s="83">
        <v>104476</v>
      </c>
      <c r="E11" s="84">
        <v>105522</v>
      </c>
      <c r="F11" s="85">
        <v>414935</v>
      </c>
      <c r="G11" s="82">
        <v>137496</v>
      </c>
      <c r="H11" s="83">
        <v>122680</v>
      </c>
      <c r="I11" s="83">
        <v>130161</v>
      </c>
      <c r="J11" s="84">
        <v>149717</v>
      </c>
      <c r="K11" s="80">
        <v>540055</v>
      </c>
    </row>
    <row r="12" spans="1:11" ht="15">
      <c r="A12" s="86" t="s">
        <v>53</v>
      </c>
      <c r="B12" s="87"/>
      <c r="C12" s="88"/>
      <c r="D12" s="88"/>
      <c r="E12" s="89"/>
      <c r="F12" s="90"/>
      <c r="G12" s="87"/>
      <c r="H12" s="88"/>
      <c r="I12" s="88"/>
      <c r="J12" s="89"/>
      <c r="K12" s="91"/>
    </row>
    <row r="13" spans="1:11" ht="15">
      <c r="A13" s="75" t="s">
        <v>51</v>
      </c>
      <c r="B13" s="76">
        <v>47563</v>
      </c>
      <c r="C13" s="77">
        <v>52088</v>
      </c>
      <c r="D13" s="77">
        <v>48258</v>
      </c>
      <c r="E13" s="78">
        <v>45646</v>
      </c>
      <c r="F13" s="79">
        <v>193555</v>
      </c>
      <c r="G13" s="76">
        <v>39432</v>
      </c>
      <c r="H13" s="77">
        <v>29715</v>
      </c>
      <c r="I13" s="92">
        <f>34799-20</f>
        <v>34779</v>
      </c>
      <c r="J13" s="78">
        <v>40262</v>
      </c>
      <c r="K13" s="80">
        <v>144188</v>
      </c>
    </row>
    <row r="14" spans="1:11" ht="15">
      <c r="A14" s="81" t="s">
        <v>52</v>
      </c>
      <c r="B14" s="82">
        <v>23031</v>
      </c>
      <c r="C14" s="83">
        <v>21795</v>
      </c>
      <c r="D14" s="83">
        <v>21257</v>
      </c>
      <c r="E14" s="84">
        <v>21517</v>
      </c>
      <c r="F14" s="85">
        <v>87600</v>
      </c>
      <c r="G14" s="82">
        <v>29702</v>
      </c>
      <c r="H14" s="83">
        <v>27007</v>
      </c>
      <c r="I14" s="93">
        <v>28529</v>
      </c>
      <c r="J14" s="84">
        <v>31539</v>
      </c>
      <c r="K14" s="94">
        <v>116778</v>
      </c>
    </row>
    <row r="15" spans="1:11" ht="15">
      <c r="A15" s="86" t="s">
        <v>54</v>
      </c>
      <c r="B15" s="87"/>
      <c r="C15" s="88"/>
      <c r="D15" s="88"/>
      <c r="E15" s="89"/>
      <c r="F15" s="91"/>
      <c r="G15" s="88"/>
      <c r="H15" s="88"/>
      <c r="I15" s="88"/>
      <c r="J15" s="88"/>
      <c r="K15" s="91"/>
    </row>
    <row r="16" spans="1:11" ht="15">
      <c r="A16" s="75" t="s">
        <v>51</v>
      </c>
      <c r="B16" s="95">
        <f t="shared" ref="B16:I17" si="0">B13/B10</f>
        <v>0.46419230168644598</v>
      </c>
      <c r="C16" s="96">
        <f t="shared" si="0"/>
        <v>0.46401083238312429</v>
      </c>
      <c r="D16" s="96">
        <f t="shared" si="0"/>
        <v>0.46078487539386997</v>
      </c>
      <c r="E16" s="97">
        <f t="shared" si="0"/>
        <v>0.4387266680763538</v>
      </c>
      <c r="F16" s="96">
        <f t="shared" si="0"/>
        <v>0.45704631267252432</v>
      </c>
      <c r="G16" s="95">
        <f t="shared" si="0"/>
        <v>0.41569503890025089</v>
      </c>
      <c r="H16" s="96">
        <f t="shared" si="0"/>
        <v>0.40005115915883571</v>
      </c>
      <c r="I16" s="96">
        <f t="shared" si="0"/>
        <v>0.42903667517856481</v>
      </c>
      <c r="J16" s="97">
        <f>J13/J10</f>
        <v>0.43581139591271217</v>
      </c>
      <c r="K16" s="98">
        <f>K13/K10</f>
        <v>0.4208848658573251</v>
      </c>
    </row>
    <row r="17" spans="1:11" ht="15">
      <c r="A17" s="81" t="s">
        <v>52</v>
      </c>
      <c r="B17" s="99">
        <f t="shared" si="0"/>
        <v>0.22070280681916188</v>
      </c>
      <c r="C17" s="100">
        <f t="shared" si="0"/>
        <v>0.2166845621570031</v>
      </c>
      <c r="D17" s="100">
        <f t="shared" si="0"/>
        <v>0.20346299628622841</v>
      </c>
      <c r="E17" s="101">
        <f t="shared" si="0"/>
        <v>0.2039100851007373</v>
      </c>
      <c r="F17" s="100">
        <f t="shared" si="0"/>
        <v>0.21111740393073614</v>
      </c>
      <c r="G17" s="99">
        <f t="shared" si="0"/>
        <v>0.2160208296968639</v>
      </c>
      <c r="H17" s="100">
        <f t="shared" si="0"/>
        <v>0.2201418324095207</v>
      </c>
      <c r="I17" s="100">
        <f t="shared" si="0"/>
        <v>0.21918239718502469</v>
      </c>
      <c r="J17" s="101">
        <f>J14/J11</f>
        <v>0.21065744037083298</v>
      </c>
      <c r="K17" s="102">
        <f>K14/K11</f>
        <v>0.21623353176991233</v>
      </c>
    </row>
    <row r="18" spans="1:11">
      <c r="A18" s="103"/>
    </row>
    <row r="19" spans="1:11" ht="15">
      <c r="A19" s="139" t="s">
        <v>55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1"/>
    </row>
    <row r="20" spans="1:11" ht="15">
      <c r="A20" s="142" t="s">
        <v>47</v>
      </c>
      <c r="B20" s="143">
        <v>2019</v>
      </c>
      <c r="C20" s="144"/>
      <c r="D20" s="144"/>
      <c r="E20" s="145"/>
      <c r="F20" s="146">
        <v>2019</v>
      </c>
      <c r="G20" s="143">
        <v>2020</v>
      </c>
      <c r="H20" s="147"/>
      <c r="I20" s="147"/>
      <c r="J20" s="148"/>
      <c r="K20" s="149">
        <v>2020</v>
      </c>
    </row>
    <row r="21" spans="1:11" ht="15">
      <c r="A21" s="150" t="s">
        <v>48</v>
      </c>
      <c r="B21" s="151">
        <v>1</v>
      </c>
      <c r="C21" s="152">
        <v>2</v>
      </c>
      <c r="D21" s="152">
        <v>3</v>
      </c>
      <c r="E21" s="153">
        <v>4</v>
      </c>
      <c r="F21" s="154" t="s">
        <v>49</v>
      </c>
      <c r="G21" s="151">
        <v>1</v>
      </c>
      <c r="H21" s="152">
        <v>2</v>
      </c>
      <c r="I21" s="152">
        <v>3</v>
      </c>
      <c r="J21" s="153">
        <v>4</v>
      </c>
      <c r="K21" s="155" t="s">
        <v>49</v>
      </c>
    </row>
    <row r="22" spans="1:11" ht="15">
      <c r="A22" s="69" t="s">
        <v>50</v>
      </c>
      <c r="B22" s="70"/>
      <c r="C22" s="71"/>
      <c r="D22" s="71"/>
      <c r="E22" s="72"/>
      <c r="F22" s="73"/>
      <c r="G22" s="70"/>
      <c r="H22" s="71"/>
      <c r="I22" s="71"/>
      <c r="J22" s="72"/>
      <c r="K22" s="74"/>
    </row>
    <row r="23" spans="1:11" ht="15">
      <c r="A23" s="75" t="s">
        <v>56</v>
      </c>
      <c r="B23" s="76">
        <f>125988-9</f>
        <v>125979</v>
      </c>
      <c r="C23" s="77">
        <f>130989+25</f>
        <v>131014</v>
      </c>
      <c r="D23" s="77">
        <v>127516</v>
      </c>
      <c r="E23" s="78">
        <f>125043-21</f>
        <v>125022</v>
      </c>
      <c r="F23" s="79">
        <f>SUM(B23:E23)</f>
        <v>509531</v>
      </c>
      <c r="G23" s="76">
        <v>113947</v>
      </c>
      <c r="H23" s="77">
        <f>84915</f>
        <v>84915</v>
      </c>
      <c r="I23" s="77">
        <v>97662</v>
      </c>
      <c r="J23" s="78">
        <v>111161</v>
      </c>
      <c r="K23" s="80">
        <v>407686</v>
      </c>
    </row>
    <row r="24" spans="1:11" ht="15">
      <c r="A24" s="81" t="s">
        <v>57</v>
      </c>
      <c r="B24" s="82">
        <v>80838</v>
      </c>
      <c r="C24" s="83">
        <v>81826</v>
      </c>
      <c r="D24" s="83">
        <v>81690</v>
      </c>
      <c r="E24" s="84">
        <v>84542</v>
      </c>
      <c r="F24" s="85">
        <f>SUM(B24:E24)</f>
        <v>328896</v>
      </c>
      <c r="G24" s="82">
        <v>118407</v>
      </c>
      <c r="H24" s="83">
        <f>112043</f>
        <v>112043</v>
      </c>
      <c r="I24" s="83">
        <v>113562</v>
      </c>
      <c r="J24" s="84">
        <v>130940</v>
      </c>
      <c r="K24" s="80">
        <v>474953</v>
      </c>
    </row>
    <row r="25" spans="1:11" ht="15">
      <c r="A25" s="69" t="s">
        <v>53</v>
      </c>
      <c r="B25" s="121"/>
      <c r="C25" s="122"/>
      <c r="D25" s="122"/>
      <c r="E25" s="123"/>
      <c r="F25" s="124"/>
      <c r="G25" s="121"/>
      <c r="H25" s="122"/>
      <c r="I25" s="122"/>
      <c r="J25" s="123"/>
      <c r="K25" s="125"/>
    </row>
    <row r="26" spans="1:11" ht="15">
      <c r="A26" s="75" t="s">
        <v>56</v>
      </c>
      <c r="B26" s="126">
        <v>56590</v>
      </c>
      <c r="C26" s="127">
        <v>59660</v>
      </c>
      <c r="D26" s="127">
        <v>54302</v>
      </c>
      <c r="E26" s="128">
        <f>52897+8</f>
        <v>52905</v>
      </c>
      <c r="F26" s="129">
        <f>SUM(B26:E26)</f>
        <v>223457</v>
      </c>
      <c r="G26" s="126">
        <v>43712</v>
      </c>
      <c r="H26" s="127">
        <f>37384</f>
        <v>37384</v>
      </c>
      <c r="I26" s="127">
        <v>41760</v>
      </c>
      <c r="J26" s="128">
        <f>48207</f>
        <v>48207</v>
      </c>
      <c r="K26" s="130">
        <v>171063</v>
      </c>
    </row>
    <row r="27" spans="1:11" ht="15">
      <c r="A27" s="81" t="s">
        <v>57</v>
      </c>
      <c r="B27" s="82">
        <v>14004</v>
      </c>
      <c r="C27" s="83">
        <v>14223</v>
      </c>
      <c r="D27" s="83">
        <v>15213</v>
      </c>
      <c r="E27" s="84">
        <v>14258</v>
      </c>
      <c r="F27" s="85">
        <f t="shared" ref="F27" si="1">SUM(B27:E27)</f>
        <v>57698</v>
      </c>
      <c r="G27" s="82">
        <v>25453</v>
      </c>
      <c r="H27" s="83">
        <f>19307</f>
        <v>19307</v>
      </c>
      <c r="I27" s="83">
        <v>21549</v>
      </c>
      <c r="J27" s="84">
        <v>23595</v>
      </c>
      <c r="K27" s="94">
        <v>89904</v>
      </c>
    </row>
    <row r="28" spans="1:11" ht="15">
      <c r="A28" s="86" t="s">
        <v>54</v>
      </c>
      <c r="B28" s="87"/>
      <c r="C28" s="88"/>
      <c r="D28" s="88"/>
      <c r="E28" s="89"/>
      <c r="F28" s="91"/>
      <c r="G28" s="88"/>
      <c r="H28" s="88"/>
      <c r="I28" s="88"/>
      <c r="J28" s="88"/>
      <c r="K28" s="91"/>
    </row>
    <row r="29" spans="1:11" ht="15">
      <c r="A29" s="75" t="s">
        <v>56</v>
      </c>
      <c r="B29" s="131">
        <f>B26/B23</f>
        <v>0.44920185110216782</v>
      </c>
      <c r="C29" s="132">
        <f>C26/C23</f>
        <v>0.4553711817057719</v>
      </c>
      <c r="D29" s="132">
        <f t="shared" ref="D29:F29" si="2">D26/D23</f>
        <v>0.42584459989334672</v>
      </c>
      <c r="E29" s="133">
        <f t="shared" si="2"/>
        <v>0.42316552286797526</v>
      </c>
      <c r="F29" s="132">
        <f t="shared" si="2"/>
        <v>0.43855427834616539</v>
      </c>
      <c r="G29" s="131">
        <f>G26/G23</f>
        <v>0.38361694471991364</v>
      </c>
      <c r="H29" s="132">
        <f>H26/H23</f>
        <v>0.44025201672260494</v>
      </c>
      <c r="I29" s="132">
        <f>I26/I23</f>
        <v>0.42759722307550529</v>
      </c>
      <c r="J29" s="133">
        <f>J26/J23</f>
        <v>0.43366828294095949</v>
      </c>
      <c r="K29" s="134">
        <f>K26/K23</f>
        <v>0.41959498241293547</v>
      </c>
    </row>
    <row r="30" spans="1:11" ht="15">
      <c r="A30" s="81" t="s">
        <v>57</v>
      </c>
      <c r="B30" s="135">
        <f t="shared" ref="B30:I30" si="3">B27/B24</f>
        <v>0.1732353596081051</v>
      </c>
      <c r="C30" s="136">
        <f t="shared" si="3"/>
        <v>0.17382005719453475</v>
      </c>
      <c r="D30" s="136">
        <f t="shared" si="3"/>
        <v>0.18622842453176644</v>
      </c>
      <c r="E30" s="137">
        <f t="shared" si="3"/>
        <v>0.16864990182394549</v>
      </c>
      <c r="F30" s="136">
        <f t="shared" si="3"/>
        <v>0.17542931504183693</v>
      </c>
      <c r="G30" s="135">
        <f>G27/G24</f>
        <v>0.2149619532628983</v>
      </c>
      <c r="H30" s="136">
        <f t="shared" si="3"/>
        <v>0.17231777085583214</v>
      </c>
      <c r="I30" s="136">
        <f t="shared" si="3"/>
        <v>0.18975537591800073</v>
      </c>
      <c r="J30" s="137">
        <f>J27/J24</f>
        <v>0.18019703681075303</v>
      </c>
      <c r="K30" s="138">
        <f>K27/K24</f>
        <v>0.18929030872528441</v>
      </c>
    </row>
    <row r="32" spans="1:11">
      <c r="A32" s="103" t="s">
        <v>58</v>
      </c>
    </row>
    <row r="34" spans="1:11" ht="15">
      <c r="A34" s="104" t="s">
        <v>59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6"/>
    </row>
    <row r="35" spans="1:11" ht="15">
      <c r="A35" s="107" t="s">
        <v>47</v>
      </c>
      <c r="B35" s="108">
        <v>2019</v>
      </c>
      <c r="C35" s="109"/>
      <c r="D35" s="109"/>
      <c r="E35" s="110"/>
      <c r="F35" s="111">
        <v>2019</v>
      </c>
      <c r="G35" s="108">
        <v>2020</v>
      </c>
      <c r="H35" s="112"/>
      <c r="I35" s="112"/>
      <c r="J35" s="113"/>
      <c r="K35" s="114">
        <v>2020</v>
      </c>
    </row>
    <row r="36" spans="1:11" ht="15">
      <c r="A36" s="115" t="s">
        <v>48</v>
      </c>
      <c r="B36" s="116">
        <v>1</v>
      </c>
      <c r="C36" s="117">
        <v>2</v>
      </c>
      <c r="D36" s="117">
        <v>3</v>
      </c>
      <c r="E36" s="118">
        <v>4</v>
      </c>
      <c r="F36" s="119" t="s">
        <v>49</v>
      </c>
      <c r="G36" s="116">
        <v>1</v>
      </c>
      <c r="H36" s="117">
        <v>2</v>
      </c>
      <c r="I36" s="117">
        <v>3</v>
      </c>
      <c r="J36" s="118">
        <v>4</v>
      </c>
      <c r="K36" s="120" t="s">
        <v>49</v>
      </c>
    </row>
    <row r="37" spans="1:11" ht="15">
      <c r="A37" s="69" t="s">
        <v>50</v>
      </c>
      <c r="B37" s="70"/>
      <c r="C37" s="71"/>
      <c r="D37" s="71"/>
      <c r="E37" s="71"/>
      <c r="F37" s="74"/>
      <c r="G37" s="71"/>
      <c r="H37" s="71"/>
      <c r="I37" s="71"/>
      <c r="J37" s="71"/>
      <c r="K37" s="74"/>
    </row>
    <row r="38" spans="1:11" ht="15">
      <c r="A38" s="75" t="s">
        <v>60</v>
      </c>
      <c r="B38" s="76">
        <f>B23-B10</f>
        <v>23515</v>
      </c>
      <c r="C38" s="77">
        <f t="shared" ref="C38:J38" si="4">C23-C10</f>
        <v>18758</v>
      </c>
      <c r="D38" s="77">
        <f t="shared" si="4"/>
        <v>22786</v>
      </c>
      <c r="E38" s="77">
        <f t="shared" si="4"/>
        <v>20980</v>
      </c>
      <c r="F38" s="80">
        <f>F23-F10</f>
        <v>86040</v>
      </c>
      <c r="G38" s="77">
        <f>G23-G10</f>
        <v>19089</v>
      </c>
      <c r="H38" s="77">
        <f t="shared" si="4"/>
        <v>10637</v>
      </c>
      <c r="I38" s="77">
        <f t="shared" si="4"/>
        <v>16599</v>
      </c>
      <c r="J38" s="77">
        <f t="shared" si="4"/>
        <v>18777</v>
      </c>
      <c r="K38" s="80">
        <f>K23-K10</f>
        <v>65103</v>
      </c>
    </row>
    <row r="39" spans="1:11" ht="15">
      <c r="A39" s="81" t="s">
        <v>61</v>
      </c>
      <c r="B39" s="76">
        <f t="shared" ref="B39:J39" si="5">B24-B11</f>
        <v>-23515</v>
      </c>
      <c r="C39" s="77">
        <f t="shared" si="5"/>
        <v>-18758</v>
      </c>
      <c r="D39" s="77">
        <f t="shared" si="5"/>
        <v>-22786</v>
      </c>
      <c r="E39" s="77">
        <f t="shared" si="5"/>
        <v>-20980</v>
      </c>
      <c r="F39" s="80">
        <f>F24-F11</f>
        <v>-86039</v>
      </c>
      <c r="G39" s="77">
        <f t="shared" si="5"/>
        <v>-19089</v>
      </c>
      <c r="H39" s="77">
        <f t="shared" si="5"/>
        <v>-10637</v>
      </c>
      <c r="I39" s="77">
        <f t="shared" si="5"/>
        <v>-16599</v>
      </c>
      <c r="J39" s="77">
        <f t="shared" si="5"/>
        <v>-18777</v>
      </c>
      <c r="K39" s="94">
        <f>K24-K11</f>
        <v>-65102</v>
      </c>
    </row>
    <row r="40" spans="1:11" ht="15">
      <c r="A40" s="86" t="s">
        <v>53</v>
      </c>
      <c r="B40" s="87"/>
      <c r="C40" s="88"/>
      <c r="D40" s="88"/>
      <c r="E40" s="88"/>
      <c r="F40" s="91"/>
      <c r="G40" s="88"/>
      <c r="H40" s="88"/>
      <c r="I40" s="88"/>
      <c r="J40" s="89"/>
      <c r="K40" s="125"/>
    </row>
    <row r="41" spans="1:11" ht="15">
      <c r="A41" s="75" t="s">
        <v>60</v>
      </c>
      <c r="B41" s="76">
        <f t="shared" ref="B41:J42" si="6">B26-B13</f>
        <v>9027</v>
      </c>
      <c r="C41" s="77">
        <f t="shared" si="6"/>
        <v>7572</v>
      </c>
      <c r="D41" s="77">
        <f t="shared" si="6"/>
        <v>6044</v>
      </c>
      <c r="E41" s="77">
        <f t="shared" si="6"/>
        <v>7259</v>
      </c>
      <c r="F41" s="80">
        <f t="shared" si="6"/>
        <v>29902</v>
      </c>
      <c r="G41" s="77">
        <f t="shared" si="6"/>
        <v>4280</v>
      </c>
      <c r="H41" s="77">
        <f t="shared" si="6"/>
        <v>7669</v>
      </c>
      <c r="I41" s="77">
        <f>I26-I13</f>
        <v>6981</v>
      </c>
      <c r="J41" s="77">
        <f t="shared" si="6"/>
        <v>7945</v>
      </c>
      <c r="K41" s="130">
        <f>K26-K13</f>
        <v>26875</v>
      </c>
    </row>
    <row r="42" spans="1:11" ht="15">
      <c r="A42" s="81" t="s">
        <v>61</v>
      </c>
      <c r="B42" s="82">
        <f t="shared" si="6"/>
        <v>-9027</v>
      </c>
      <c r="C42" s="83">
        <f t="shared" si="6"/>
        <v>-7572</v>
      </c>
      <c r="D42" s="83">
        <f t="shared" si="6"/>
        <v>-6044</v>
      </c>
      <c r="E42" s="83">
        <f t="shared" si="6"/>
        <v>-7259</v>
      </c>
      <c r="F42" s="94">
        <f t="shared" si="6"/>
        <v>-29902</v>
      </c>
      <c r="G42" s="83">
        <f t="shared" si="6"/>
        <v>-4249</v>
      </c>
      <c r="H42" s="83">
        <f t="shared" si="6"/>
        <v>-7700</v>
      </c>
      <c r="I42" s="83">
        <f t="shared" si="6"/>
        <v>-6980</v>
      </c>
      <c r="J42" s="83">
        <f t="shared" si="6"/>
        <v>-7944</v>
      </c>
      <c r="K42" s="94">
        <f>K27-K14</f>
        <v>-26874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3BC62659-16C9-49E3-9AFB-8D3124DD9B4F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APM 2024</vt:lpstr>
      <vt:lpstr>APM 2023</vt:lpstr>
      <vt:lpstr>APM 2022</vt:lpstr>
      <vt:lpstr>APM 2021 </vt:lpstr>
      <vt:lpstr>APM 2020</vt:lpstr>
      <vt:lpstr>APM 2019 </vt:lpstr>
      <vt:lpstr>Restated Segments 2019-2020</vt:lpstr>
      <vt:lpstr>'APM 2022'!Print_Area</vt:lpstr>
      <vt:lpstr>'APM 2023'!Print_Area</vt:lpstr>
    </vt:vector>
  </TitlesOfParts>
  <Company>ProXecutive Consultants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Jonsson</dc:creator>
  <cp:lastModifiedBy>Håkan Löfgren</cp:lastModifiedBy>
  <cp:lastPrinted>2024-11-25T13:26:43Z</cp:lastPrinted>
  <dcterms:created xsi:type="dcterms:W3CDTF">2010-01-19T20:11:25Z</dcterms:created>
  <dcterms:modified xsi:type="dcterms:W3CDTF">2024-11-25T13:56:27Z</dcterms:modified>
</cp:coreProperties>
</file>